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Dati" sheetId="1" r:id="rId1"/>
    <sheet name="B1" sheetId="2" state="hidden" r:id="rId2"/>
    <sheet name="B3" sheetId="3" state="hidden" r:id="rId3"/>
    <sheet name="B4" sheetId="4" state="hidden" r:id="rId4"/>
    <sheet name="Azioni" sheetId="5" r:id="rId5"/>
    <sheet name="Ruoli" sheetId="6" r:id="rId6"/>
    <sheet name="E1" sheetId="7" r:id="rId7"/>
    <sheet name="E2" sheetId="8" r:id="rId8"/>
    <sheet name="M1" sheetId="9" r:id="rId9"/>
    <sheet name="M2" sheetId="10" r:id="rId10"/>
    <sheet name="Testo" sheetId="11" state="hidden" r:id="rId11"/>
  </sheets>
  <definedNames>
    <definedName name="AR" localSheetId="5">'B4'!$B$4:$N$28</definedName>
    <definedName name="AR">'B4'!$B$4:$N$28</definedName>
    <definedName name="_xlnm.Print_Area" localSheetId="4">'Azioni'!$A$1:$P$53</definedName>
    <definedName name="_xlnm.Print_Area" localSheetId="5">'Ruoli'!$A$1:$P$77</definedName>
    <definedName name="AZ">'Testo'!$A$56:$B$82</definedName>
    <definedName name="B_1">'B1'!$B$4:$Y$17</definedName>
    <definedName name="B_2">'B1'!$C$3:$Y$17</definedName>
    <definedName name="C_1" localSheetId="1">'B1'!$B$4:$Y$17</definedName>
    <definedName name="C_1" localSheetId="3">'B4'!$B$4:$N$13</definedName>
    <definedName name="C_1">'B3'!$B$4:$Y$17</definedName>
    <definedName name="C_2" localSheetId="1">'B1'!$C$3:$Y$17</definedName>
    <definedName name="C_2" localSheetId="3">'B4'!$C$3:$N$13</definedName>
    <definedName name="C_2" localSheetId="9">'B3'!$C$3:$Y$17</definedName>
    <definedName name="C_2">'B3'!$C$3:$Y$17</definedName>
    <definedName name="Fasi">'Testo'!$A$79:$B$81</definedName>
    <definedName name="Q_1" localSheetId="7">'Testo'!$A$3:$C$25</definedName>
    <definedName name="Q_1" localSheetId="9">'Testo'!$A$3:$C$25</definedName>
    <definedName name="Q_1">'Testo'!$A$3:$C$25</definedName>
    <definedName name="Q_2" localSheetId="9">'Testo'!$A$29:$C$51</definedName>
    <definedName name="Q_2">'Testo'!$A$29:$C$51</definedName>
    <definedName name="R_1" localSheetId="6">'E1'!$Y$8:$AA$21</definedName>
    <definedName name="R_1" localSheetId="8">'M1'!$Y$8:$AA$21</definedName>
    <definedName name="R_1">'M1'!$Y$8:$AA$21</definedName>
    <definedName name="RL">'Testo'!$A$86:$B$95</definedName>
    <definedName name="RU">'B4'!$C$3:$L$24</definedName>
    <definedName name="_xlnm.Print_Titles" localSheetId="7">'E2'!$1:$7</definedName>
    <definedName name="_xlnm.Print_Titles" localSheetId="9">'M2'!$1:$7</definedName>
    <definedName name="_xlnm.Print_Titles" localSheetId="5">'Ruoli'!$1:$7</definedName>
  </definedNames>
  <calcPr fullCalcOnLoad="1"/>
</workbook>
</file>

<file path=xl/comments10.xml><?xml version="1.0" encoding="utf-8"?>
<comments xmlns="http://schemas.openxmlformats.org/spreadsheetml/2006/main">
  <authors>
    <author>Sante Velo</author>
  </authors>
  <commentList>
    <comment ref="A5" authorId="0">
      <text>
        <r>
          <rPr>
            <b/>
            <sz val="12"/>
            <rFont val="Tahoma"/>
            <family val="2"/>
          </rPr>
          <t>Digitare il numero
dell'item [da 1 a 23]</t>
        </r>
      </text>
    </comment>
  </commentList>
</comments>
</file>

<file path=xl/comments8.xml><?xml version="1.0" encoding="utf-8"?>
<comments xmlns="http://schemas.openxmlformats.org/spreadsheetml/2006/main">
  <authors>
    <author>Sante Velo</author>
  </authors>
  <commentList>
    <comment ref="A5" authorId="0">
      <text>
        <r>
          <rPr>
            <b/>
            <sz val="12"/>
            <rFont val="Tahoma"/>
            <family val="2"/>
          </rPr>
          <t>Digitare il numero
dell'item [da 1 a 23]</t>
        </r>
      </text>
    </comment>
  </commentList>
</comments>
</file>

<file path=xl/sharedStrings.xml><?xml version="1.0" encoding="utf-8"?>
<sst xmlns="http://schemas.openxmlformats.org/spreadsheetml/2006/main" count="716" uniqueCount="286">
  <si>
    <t>Azioni</t>
  </si>
  <si>
    <t>A - Fase di attivazione</t>
  </si>
  <si>
    <t>B - Fase di verifica/valutazione/validazione</t>
  </si>
  <si>
    <t>C - Fase di attuazione</t>
  </si>
  <si>
    <t>Valore percentuale sul totale dei tutor che hanno indicato un ruolo (per ciascuna azione)</t>
  </si>
  <si>
    <t>L'attivazione delle forme di collaborazione con Aziende/Enti è stata effettuata da</t>
  </si>
  <si>
    <r>
      <t>Posizione rispetto al valore assoluto</t>
    </r>
    <r>
      <rPr>
        <sz val="9"/>
        <rFont val="Arial"/>
        <family val="0"/>
      </rPr>
      <t xml:space="preserve"> [da 1 = valore più alto a 30 = valore più basso]</t>
    </r>
  </si>
  <si>
    <t>Raccolta/utilizzo fonti per conoscere realtà del territorio e mondo del lavoro</t>
  </si>
  <si>
    <t>Attivazione delle forme di collaborazione con Regione, Enti Territoriali, di Formazione etc.</t>
  </si>
  <si>
    <t>Attivazione delle forme di collaborazione con Aziende/Enti</t>
  </si>
  <si>
    <t>Sensibilizzazione/coinvolgimento dell'Istituto (docenti, organi collegiali, ecc.)</t>
  </si>
  <si>
    <t>Iindividuazione delle conoscenze/abilità/competenze oggetto del percorso di ASL in IFS</t>
  </si>
  <si>
    <t>Comunicazione del progetto ASL in IFS ai docenti</t>
  </si>
  <si>
    <t>Comunicazione del progetto ASL in IFS alle famiglie</t>
  </si>
  <si>
    <t>Incontri di preparazione con gli studenti in ASL in IFS</t>
  </si>
  <si>
    <t>Somministrazione di questionari in Entrata/Uscita agli studenti</t>
  </si>
  <si>
    <t>Valutazione dell'attività degli studenti in IFS</t>
  </si>
  <si>
    <t>Verifica delle conoscenze/abilità/competenze acquisite in IFS</t>
  </si>
  <si>
    <t>Valutazione delle conoscenze/abilità/competenze acquisite in IFS</t>
  </si>
  <si>
    <t>Attribuzione dei crediti alle conoscenze/abilità/competenze acquisite in IFS</t>
  </si>
  <si>
    <t>Integrazione dei crediti acquisiti in IFS con la valutazione scolastica degli allievi</t>
  </si>
  <si>
    <t>Predisposizione schede descrittive processi organizzativi e produttivi nelle Aziende/Enti</t>
  </si>
  <si>
    <r>
      <t xml:space="preserve">Compiti e/o azioni attivate - </t>
    </r>
    <r>
      <rPr>
        <b/>
        <i/>
        <sz val="11"/>
        <color indexed="12"/>
        <rFont val="Arial"/>
        <family val="2"/>
      </rPr>
      <t>Ruoli per azione</t>
    </r>
  </si>
  <si>
    <r>
      <t xml:space="preserve">Compiti e/o azioni attivate - </t>
    </r>
    <r>
      <rPr>
        <b/>
        <i/>
        <sz val="11"/>
        <color indexed="12"/>
        <rFont val="Arial"/>
        <family val="2"/>
      </rPr>
      <t>Azioni per ruolo</t>
    </r>
  </si>
  <si>
    <t>Quindicenni</t>
  </si>
  <si>
    <t>Sedicenni</t>
  </si>
  <si>
    <t>Diciassettenni</t>
  </si>
  <si>
    <t>Diociottenni</t>
  </si>
  <si>
    <t>Diaciannovenni</t>
  </si>
  <si>
    <t>USRV – Cosa è accaduto nell’Alternanza scuola-lavoro nell'IFS  - [a.s. 2005-2006]</t>
  </si>
  <si>
    <r>
      <t>ABILITÀ MESSE IN ATTO</t>
    </r>
    <r>
      <rPr>
        <sz val="10"/>
        <color indexed="12"/>
        <rFont val="Arial"/>
        <family val="2"/>
      </rPr>
      <t xml:space="preserve"> - </t>
    </r>
    <r>
      <rPr>
        <b/>
        <sz val="12"/>
        <color indexed="21"/>
        <rFont val="Arial"/>
        <family val="2"/>
      </rPr>
      <t>Le abilità</t>
    </r>
  </si>
  <si>
    <t>L'età</t>
  </si>
  <si>
    <t>15 anni</t>
  </si>
  <si>
    <t>16 anni</t>
  </si>
  <si>
    <t>17 anni</t>
  </si>
  <si>
    <t>18 anni</t>
  </si>
  <si>
    <t>19 anni</t>
  </si>
  <si>
    <t>Questionario</t>
  </si>
  <si>
    <r>
      <t>Quanto mi sento capace?</t>
    </r>
    <r>
      <rPr>
        <sz val="12"/>
        <color indexed="12"/>
        <rFont val="Arial"/>
        <family val="2"/>
      </rPr>
      <t xml:space="preserve"> [</t>
    </r>
    <r>
      <rPr>
        <sz val="10"/>
        <color indexed="12"/>
        <rFont val="Arial"/>
        <family val="2"/>
      </rPr>
      <t xml:space="preserve">Entrata] - </t>
    </r>
    <r>
      <rPr>
        <b/>
        <sz val="12"/>
        <color indexed="21"/>
        <rFont val="Arial"/>
        <family val="2"/>
      </rPr>
      <t>Quadro generale</t>
    </r>
  </si>
  <si>
    <r>
      <t>Quanto mi sento capace?</t>
    </r>
    <r>
      <rPr>
        <sz val="12"/>
        <color indexed="12"/>
        <rFont val="Arial"/>
        <family val="2"/>
      </rPr>
      <t xml:space="preserve"> [</t>
    </r>
    <r>
      <rPr>
        <sz val="10"/>
        <color indexed="12"/>
        <rFont val="Arial"/>
        <family val="2"/>
      </rPr>
      <t xml:space="preserve">Entrata] - </t>
    </r>
    <r>
      <rPr>
        <b/>
        <sz val="12"/>
        <color indexed="21"/>
        <rFont val="Arial"/>
        <family val="2"/>
      </rPr>
      <t>Le abilità</t>
    </r>
  </si>
  <si>
    <t>USRV – Credenze di efficacia rispetto al lavoro nell'IFS  - [a.s. 2005-2006]</t>
  </si>
  <si>
    <t>A04</t>
  </si>
  <si>
    <t>IP “Catullo” - Belluno</t>
  </si>
  <si>
    <t>B04</t>
  </si>
  <si>
    <t>Ist. "Maria Ausiliatrice" - Padova</t>
  </si>
  <si>
    <t>B10</t>
  </si>
  <si>
    <t>IIS "Mattei" - Padova</t>
  </si>
  <si>
    <t>B11</t>
  </si>
  <si>
    <t>C01</t>
  </si>
  <si>
    <t>IPC "Colombo" - Adria</t>
  </si>
  <si>
    <t>C02</t>
  </si>
  <si>
    <t>IIS "Einaudi" - Badia Polesine</t>
  </si>
  <si>
    <t>D07</t>
  </si>
  <si>
    <t>ITCGS "Sansovino" - Oderzo</t>
  </si>
  <si>
    <t>D10</t>
  </si>
  <si>
    <t>IPSIA "Giorgi" - Treviso</t>
  </si>
  <si>
    <t>E08</t>
  </si>
  <si>
    <t>IIS "G. Luzzatto" - Portogruaro</t>
  </si>
  <si>
    <t>E09</t>
  </si>
  <si>
    <t>ITSC "8 marzo" - Mirano</t>
  </si>
  <si>
    <t>E10</t>
  </si>
  <si>
    <t>ITCS "Maria Lazzari" - Dolo</t>
  </si>
  <si>
    <t>E11</t>
  </si>
  <si>
    <t>Ist. “Alberti” – San Donà del Piave</t>
  </si>
  <si>
    <t>G04</t>
  </si>
  <si>
    <t>IIS “Masotto” - Noventa</t>
  </si>
  <si>
    <t>G06</t>
  </si>
  <si>
    <t>IPSIA “Garbin” - Schio</t>
  </si>
  <si>
    <t>G10</t>
  </si>
  <si>
    <t>IPSAA "Parolini" - Bassano del Grappa</t>
  </si>
  <si>
    <t>Codice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</si>
  <si>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</si>
  <si>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</si>
  <si>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</si>
  <si>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</si>
  <si>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</si>
  <si>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</si>
  <si>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</si>
  <si>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</si>
  <si>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</si>
  <si>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</si>
  <si>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</si>
  <si>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</si>
  <si>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</si>
  <si>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</si>
  <si>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</si>
  <si>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</si>
  <si>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</si>
  <si>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</si>
  <si>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</si>
  <si>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</si>
  <si>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</si>
  <si>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</si>
  <si>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</si>
  <si>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F</t>
  </si>
  <si>
    <t>M</t>
  </si>
  <si>
    <t>PR</t>
  </si>
  <si>
    <t>A</t>
  </si>
  <si>
    <t>B</t>
  </si>
  <si>
    <t>C</t>
  </si>
  <si>
    <t>D</t>
  </si>
  <si>
    <t>BL</t>
  </si>
  <si>
    <t>PD</t>
  </si>
  <si>
    <t>RO</t>
  </si>
  <si>
    <t>TV</t>
  </si>
  <si>
    <t>VE</t>
  </si>
  <si>
    <t>VI</t>
  </si>
  <si>
    <t>N</t>
  </si>
  <si>
    <t>Totale</t>
  </si>
  <si>
    <t xml:space="preserve">Penso di essere capace di collaborare con gli altri per raggiungere un obiettivo comune. </t>
  </si>
  <si>
    <t>Anche se mi sento stressato e in difficoltà, sono in grado di portare a termine i miei compiti.</t>
  </si>
  <si>
    <t>Quando leggo delle istruzioni, sono capace di comprenderle e di metterle in pratica.</t>
  </si>
  <si>
    <t>Se richiesto, sono capace di dare informazioni parlando in modo chiaro e preciso.</t>
  </si>
  <si>
    <t>Ritengo di essere capace di conoscere nuove persone e di creare nuovi rapporti di collaborazione.</t>
  </si>
  <si>
    <t>Se devo svolgere un lavoro insieme ad altri, riesco a fare la parte di lavoro che mi è stata assegnata.</t>
  </si>
  <si>
    <t>Se qualcuno mi dà delle spiegazioni chiare, sono disposto a cambiare le mie idee e i miei progetti.</t>
  </si>
  <si>
    <t>Quando ascolto delle istruzioni, sono capace di comprenderle e di metterle in pratica.</t>
  </si>
  <si>
    <t>Se richiesto, sono capace di scrivere una relazione chiara e completa su un’attività svolta.</t>
  </si>
  <si>
    <t>Se gli altri mi conoscessero bene, direbbero di me che sono una persona che ha cura degli strumenti e dei materiali assegnati.</t>
  </si>
  <si>
    <t>Penso di essere capace di tenere sotto controllo un piano di azione e di portarlo a termine.</t>
  </si>
  <si>
    <t>Se devo fare qualcosa di impegnativo, riesco a superare le difficoltà e ad arrivare al mio obiettivo.</t>
  </si>
  <si>
    <t>Quando devo iniziare un’attività nuova, riesco a partire con slancio e determinazione.</t>
  </si>
  <si>
    <t>Quando mi trovo in difficoltà, sono in grado di reagire anche se molto stressato.</t>
  </si>
  <si>
    <t>Se gli altri mi conoscessero bene, direbbero di me che sono una persona responsabile e affidabile con cui lavorare insieme.</t>
  </si>
  <si>
    <t>Penso di essere capace di mantenere l’autocontrollo e di rimanere calmo in situazioni di difficoltà.</t>
  </si>
  <si>
    <t>Riesco a finire con successo il lavoro che mi hanno assegnato, se mi viene lasciato un tempo sufficiente per organizzarmi.</t>
  </si>
  <si>
    <t>Se mi viene assegnato un lavoro noioso e ripetitivo, sono capace di portarlo comunque a termine.</t>
  </si>
  <si>
    <t>Penso di essere capace di eseguire più azioni insieme per raggiungere uno scopo.</t>
  </si>
  <si>
    <t>Quando sto svolgendo un’attività complicata, riesco a cogliere anche i piccoli dettagli che mi possono aiutare a portarla a termine.</t>
  </si>
  <si>
    <t>Quando qualcuno mi assegna un lavoro e mi dice come farlo, seguo sempre le istruzioni che mi sono state date.</t>
  </si>
  <si>
    <t>Mentre sto facendo un lavoro, sono attento, ordinato e accurato.</t>
  </si>
  <si>
    <t>Se qualcuno mi dà dei consigli utili, sono disposto a cambiare le mie idee e i miei progetti.</t>
  </si>
  <si>
    <t xml:space="preserve">Collaborare con gli altri per raggiungere un obiettivo comune. </t>
  </si>
  <si>
    <t>Portare a termine i compiti assegnati anche se ci si sente stressati e in difficoltà.</t>
  </si>
  <si>
    <t>Comprendere e mettere in pratica istruzioni scritte</t>
  </si>
  <si>
    <t>Dare informazioni orali.</t>
  </si>
  <si>
    <t>Conoscere nuove persone e creare nuovi rapporti di collaborazione</t>
  </si>
  <si>
    <t>Eseguire la parte di lavoro assegnata all’interno di un’attività da svolgere insieme ad altri.</t>
  </si>
  <si>
    <t>Cambiare idee e progetti in seguito a spiegazioni chiare ricevute da qualcuno.</t>
  </si>
  <si>
    <t>Comprendere e mettere in pratica istruzioni ricevute a voce.</t>
  </si>
  <si>
    <t>Scrivere una relazione su un’attività svolta.</t>
  </si>
  <si>
    <t>Tenere con cura strumenti e materiali assegnati.</t>
  </si>
  <si>
    <t>Tenere sotto controllo un piano di azione e portarlo a termine.</t>
  </si>
  <si>
    <t>Raggiungere un obiettivo impegnativo superando le difficoltà.</t>
  </si>
  <si>
    <t>Partire con slancio e determinazione all’inizio di un’attività nuova.</t>
  </si>
  <si>
    <t>Reagire di fronte ad una difficoltà controllando lo stress.</t>
  </si>
  <si>
    <t>Tenere un comportamento responsabile e affidabile nello svolgimento del lavoro.</t>
  </si>
  <si>
    <t>Mantenere l’autocontrollo e rimanere calmi in situazione di difficoltà.</t>
  </si>
  <si>
    <t>Portare a termine con successo un lavoro assegnato, a condizione di avere il tempo sufficiente per organizzarsi.</t>
  </si>
  <si>
    <t>Portare a termine un lavoro anche se noioso e ripetitivo.</t>
  </si>
  <si>
    <t xml:space="preserve">Eseguire più azioni insieme per raggiungere uno scopo. </t>
  </si>
  <si>
    <t xml:space="preserve">Riuscire a cogliere piccoli dettagli che possono aiutare a portare a termine un’attività complicata. </t>
  </si>
  <si>
    <t>Svolgere un lavoro seguendo le istruzioni ricevute.</t>
  </si>
  <si>
    <t>Svolgere un lavoro con attenzione, ordine e accuratezza.</t>
  </si>
  <si>
    <t>Cambiare idee e progetti in seguito ai consigli di qualcuno.</t>
  </si>
  <si>
    <t>Chek - Messo in atto</t>
  </si>
  <si>
    <t>RE</t>
  </si>
  <si>
    <t>C1</t>
  </si>
  <si>
    <t>C2</t>
  </si>
  <si>
    <t>C3</t>
  </si>
  <si>
    <t>C4</t>
  </si>
  <si>
    <t>C5</t>
  </si>
  <si>
    <t>Maschi</t>
  </si>
  <si>
    <t>Veneto</t>
  </si>
  <si>
    <t>z</t>
  </si>
  <si>
    <t>Belluno</t>
  </si>
  <si>
    <t>a</t>
  </si>
  <si>
    <t>Padova</t>
  </si>
  <si>
    <t>Rovigo</t>
  </si>
  <si>
    <t>Treviso</t>
  </si>
  <si>
    <t>Venezia</t>
  </si>
  <si>
    <t>Vicenza</t>
  </si>
  <si>
    <t>c</t>
  </si>
  <si>
    <t>Femmine</t>
  </si>
  <si>
    <t>d</t>
  </si>
  <si>
    <r>
      <t>ABILITÀ MESSE IN ATTO</t>
    </r>
    <r>
      <rPr>
        <sz val="10"/>
        <color indexed="12"/>
        <rFont val="Arial"/>
        <family val="2"/>
      </rPr>
      <t xml:space="preserve"> - </t>
    </r>
    <r>
      <rPr>
        <b/>
        <sz val="12"/>
        <color indexed="21"/>
        <rFont val="Arial"/>
        <family val="2"/>
      </rPr>
      <t>Quadro generale</t>
    </r>
  </si>
  <si>
    <t>Intervallo: 0 -100</t>
  </si>
  <si>
    <t>Le Province</t>
  </si>
  <si>
    <t>Il genere</t>
  </si>
  <si>
    <t>N. studenti</t>
  </si>
  <si>
    <t>N.Chek - List Tutor</t>
  </si>
  <si>
    <t>N. Questionari studenti</t>
  </si>
  <si>
    <t>N. Chek - List studenti</t>
  </si>
  <si>
    <t>Legenda</t>
  </si>
  <si>
    <t>Istituto</t>
  </si>
  <si>
    <t>IIS "Cittadella" – Piazzola s/B -</t>
  </si>
  <si>
    <t>Quadro generale [15 istituti]</t>
  </si>
  <si>
    <t>%B</t>
  </si>
  <si>
    <t>%C</t>
  </si>
  <si>
    <t>--</t>
  </si>
  <si>
    <t>Chek - Tutor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</si>
  <si>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</si>
  <si>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</si>
  <si>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</si>
  <si>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</si>
  <si>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</si>
  <si>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</si>
  <si>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</si>
  <si>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</si>
  <si>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</si>
  <si>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</si>
  <si>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Studenti - Credenze</t>
  </si>
  <si>
    <t>Studenti - Abilità esercitate</t>
  </si>
  <si>
    <t>Tutor - Chek</t>
  </si>
  <si>
    <t>La raccolta/utilizzo fonti per conoscere realtà del territorio e mondo del lavoro è stata effettuata da</t>
  </si>
  <si>
    <t>L'attivazione delle forme di collaborazione con Regione, Enti Territoriali, di Formazione etc. è stata effettuata da</t>
  </si>
  <si>
    <t>La sensibilizzazione/coinvolgimento dell'Istituto (docenti, organi collegiali, ecc.) è stata effettuata da</t>
  </si>
  <si>
    <t>L'individuazione delle conoscenze/abilità/competenze oggetto del percorso di ASL in IFS è stata effettuata da</t>
  </si>
  <si>
    <t>La costruzione/manutenzione dell'archivio delle Aziende/Enti di riferimento è stata effettuata da</t>
  </si>
  <si>
    <t>La predisposizione delle schede con descrizione dei processi organizzativi e produttivi presenti nelle Aziende/Enti è stata effettuata da</t>
  </si>
  <si>
    <t>La comunicazione del progetto ASL in IFS ai docenti è stata effettuata da</t>
  </si>
  <si>
    <t>La comunicazione del progetto ASL in IFS alle famiglie è stata effettuata da</t>
  </si>
  <si>
    <t>La stesura degli accordi tra Istituto e Azienda/Ente è stata effettuata da</t>
  </si>
  <si>
    <t>L'integrazione del progetto con le attività curricolari è stata effettuata da</t>
  </si>
  <si>
    <t>Gli incontri di preparazione con gli studenti in ASL in IFS è stata effettuata da</t>
  </si>
  <si>
    <t>La somministrazione di questionari in Entrata/Uscita agli studenti è stata effettuata da</t>
  </si>
  <si>
    <t>L'elaborazione/analisi/pubblicizzazione delle informazioni raccolte con i questionari è stata effettuata da</t>
  </si>
  <si>
    <t>La cura del flusso di informazioni Azienda/Ente e Scuola è stata effettuata da</t>
  </si>
  <si>
    <t>La valutazione dell'attività degli studenti in IFS è stata effettuata da</t>
  </si>
  <si>
    <t>La verifica delle conoscenze/abilità/competenze acquisite in IFS è stata effettuata da</t>
  </si>
  <si>
    <t>La valutazione delle conoscenze/abilità/competenze acquisite in IFS è stata effettuata da</t>
  </si>
  <si>
    <t>L'attribuzione dei crediti alle conoscenze/abilità/competenze acquisite in IFS è stata effettuata da</t>
  </si>
  <si>
    <t>L'integrazione dei crediti acquisiti in IFS con la valutazione scolastica degli allievi è stata effettuata da</t>
  </si>
  <si>
    <t>La validazione/valutazione del progetto è stata effettuata da</t>
  </si>
  <si>
    <t>A.1</t>
  </si>
  <si>
    <t>A.2</t>
  </si>
  <si>
    <t>A.3</t>
  </si>
  <si>
    <t>A.4</t>
  </si>
  <si>
    <t>A.5</t>
  </si>
  <si>
    <t>A.6</t>
  </si>
  <si>
    <t>A.7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</si>
  <si>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</si>
  <si>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</si>
  <si>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</si>
  <si>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</si>
  <si>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</si>
  <si>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</si>
  <si>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</si>
  <si>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</si>
  <si>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</si>
  <si>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C.1</t>
  </si>
  <si>
    <t>C.2</t>
  </si>
  <si>
    <t>C.3</t>
  </si>
  <si>
    <t>C.4</t>
  </si>
  <si>
    <t>C.5</t>
  </si>
  <si>
    <t>Tot</t>
  </si>
  <si>
    <t>N%</t>
  </si>
  <si>
    <t>Ufficio Scolastico Regionale del Veneto</t>
  </si>
  <si>
    <t>Governare il percorso di Alternanza Scuola Lavoro [a.s. 2005-2006]</t>
  </si>
  <si>
    <t>N.</t>
  </si>
  <si>
    <t>Ruoli coinvolti nell'azione</t>
  </si>
  <si>
    <t>V.a.</t>
  </si>
  <si>
    <t>V.%</t>
  </si>
  <si>
    <t>Pos</t>
  </si>
  <si>
    <t>Dirigente Scolastico</t>
  </si>
  <si>
    <t>Comitato Tecnico Scientifico</t>
  </si>
  <si>
    <t>Collegio Docenti / Dipartimenti</t>
  </si>
  <si>
    <t>Valore assoluto</t>
  </si>
  <si>
    <t>Consiglio di classe</t>
  </si>
  <si>
    <t>Valore perc. su totale ruoli</t>
  </si>
  <si>
    <t>Coordinatore di classe</t>
  </si>
  <si>
    <t>F. Strumentale / Commissioni</t>
  </si>
  <si>
    <t>alto a 10 = valore più basso]</t>
  </si>
  <si>
    <t>Referente Progetto di Istituto</t>
  </si>
  <si>
    <t>Indice complessità azione</t>
  </si>
  <si>
    <t>Tutor interno</t>
  </si>
  <si>
    <t>[Il valore 1 indica il minimo</t>
  </si>
  <si>
    <t>Tutor esterno</t>
  </si>
  <si>
    <t>della complessità = 1 ruolo</t>
  </si>
  <si>
    <t>Rappresentante Ass. Categoria</t>
  </si>
  <si>
    <t>coinvolto per azione]</t>
  </si>
  <si>
    <r>
      <t>V.a.</t>
    </r>
    <r>
      <rPr>
        <sz val="9"/>
        <rFont val="Arial"/>
        <family val="0"/>
      </rPr>
      <t xml:space="preserve"> =</t>
    </r>
  </si>
  <si>
    <r>
      <t>V.%</t>
    </r>
    <r>
      <rPr>
        <sz val="9"/>
        <rFont val="Arial"/>
        <family val="0"/>
      </rPr>
      <t xml:space="preserve"> =</t>
    </r>
  </si>
  <si>
    <r>
      <t>Pos</t>
    </r>
    <r>
      <rPr>
        <sz val="9"/>
        <rFont val="Arial"/>
        <family val="0"/>
      </rPr>
      <t xml:space="preserve"> =</t>
    </r>
  </si>
  <si>
    <r>
      <t>Posizione</t>
    </r>
    <r>
      <rPr>
        <sz val="9"/>
        <rFont val="Arial"/>
        <family val="0"/>
      </rPr>
      <t xml:space="preserve"> [da 1 = valore più</t>
    </r>
  </si>
  <si>
    <r>
      <t>IC</t>
    </r>
    <r>
      <rPr>
        <sz val="9"/>
        <rFont val="Arial"/>
        <family val="0"/>
      </rPr>
      <t xml:space="preserve"> =</t>
    </r>
  </si>
  <si>
    <t>Fase di attivazione</t>
  </si>
  <si>
    <t>Costruzione/manutenzione dell'archivio delle Aziende/Enti di riferimento</t>
  </si>
  <si>
    <t>Fase di attuazione</t>
  </si>
  <si>
    <t>Integrazione del progetto con le attività curricolari</t>
  </si>
  <si>
    <t>Elaborazione/analisi/pubblicizzazione delle informazioni raccolte con i questionari</t>
  </si>
  <si>
    <t>Cura del flusso di informazioni Azienda/Ente e Scuola</t>
  </si>
  <si>
    <t>Fase di verifica/valutazione/validazione</t>
  </si>
  <si>
    <t>Validazione/valutazione del progetto</t>
  </si>
  <si>
    <t>Stesura degli accordi tra Istituto e Azienda/Ente</t>
  </si>
  <si>
    <t>Tutte le azioni</t>
  </si>
</sst>
</file>

<file path=xl/styles.xml><?xml version="1.0" encoding="utf-8"?>
<styleSheet xmlns="http://schemas.openxmlformats.org/spreadsheetml/2006/main">
  <numFmts count="5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mmmm\ yyyy"/>
    <numFmt numFmtId="175" formatCode="0.000"/>
    <numFmt numFmtId="176" formatCode="General_)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0.0000000000000"/>
    <numFmt numFmtId="184" formatCode="0.0000000"/>
    <numFmt numFmtId="185" formatCode="0.00000000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%"/>
    <numFmt numFmtId="196" formatCode="0.000000"/>
    <numFmt numFmtId="197" formatCode="0.00000"/>
    <numFmt numFmtId="198" formatCode="0.00000000"/>
    <numFmt numFmtId="199" formatCode="d/m"/>
    <numFmt numFmtId="200" formatCode="[Red]\&lt;0"/>
    <numFmt numFmtId="201" formatCode="[Red][&lt;0]0;0"/>
    <numFmt numFmtId="202" formatCode="[Red][&lt;0]\-0;0"/>
    <numFmt numFmtId="203" formatCode="[Red][&lt;0]\-0;[Blue][=0]0;0"/>
    <numFmt numFmtId="204" formatCode="mmmm\-yyyy"/>
    <numFmt numFmtId="205" formatCode="0.000000000"/>
    <numFmt numFmtId="206" formatCode="[$€-2]\ #.##000_);[Red]\([$€-2]\ #.##000\)"/>
    <numFmt numFmtId="207" formatCode="[$-410]dddd\ d\ mmmm\ yyyy"/>
    <numFmt numFmtId="208" formatCode="dd/mm/yy;@"/>
    <numFmt numFmtId="209" formatCode="&quot;€&quot;\ #,##0.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12"/>
      <name val="Arial"/>
      <family val="2"/>
    </font>
    <font>
      <b/>
      <i/>
      <sz val="12"/>
      <color indexed="10"/>
      <name val="Arial"/>
      <family val="2"/>
    </font>
    <font>
      <sz val="9"/>
      <name val="Arial"/>
      <family val="2"/>
    </font>
    <font>
      <sz val="15.25"/>
      <name val="Tahoma"/>
      <family val="0"/>
    </font>
    <font>
      <b/>
      <sz val="9.25"/>
      <name val="Tahoma"/>
      <family val="2"/>
    </font>
    <font>
      <sz val="9.25"/>
      <name val="Tahoma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1"/>
      <color indexed="12"/>
      <name val="Arial"/>
      <family val="2"/>
    </font>
    <font>
      <sz val="11"/>
      <name val="Arial"/>
      <family val="0"/>
    </font>
    <font>
      <b/>
      <sz val="12"/>
      <name val="Tahoma"/>
      <family val="2"/>
    </font>
    <font>
      <sz val="8.75"/>
      <name val="Tahoma"/>
      <family val="0"/>
    </font>
    <font>
      <b/>
      <sz val="9.75"/>
      <name val="Tahoma"/>
      <family val="2"/>
    </font>
    <font>
      <sz val="9.75"/>
      <name val="Tahoma"/>
      <family val="2"/>
    </font>
    <font>
      <sz val="8"/>
      <name val="Tahoma"/>
      <family val="0"/>
    </font>
    <font>
      <sz val="10"/>
      <name val="Tahoma"/>
      <family val="2"/>
    </font>
    <font>
      <sz val="12"/>
      <color indexed="12"/>
      <name val="Arial"/>
      <family val="2"/>
    </font>
    <font>
      <b/>
      <sz val="10"/>
      <name val="Tahoma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b/>
      <sz val="9"/>
      <name val="Arial"/>
      <family val="2"/>
    </font>
    <font>
      <sz val="12"/>
      <name val="Tahoma"/>
      <family val="0"/>
    </font>
    <font>
      <b/>
      <sz val="11"/>
      <name val="Tahoma"/>
      <family val="2"/>
    </font>
    <font>
      <b/>
      <sz val="9"/>
      <name val="Tahoma"/>
      <family val="2"/>
    </font>
    <font>
      <b/>
      <sz val="10.25"/>
      <name val="Tahoma"/>
      <family val="2"/>
    </font>
    <font>
      <b/>
      <sz val="8.25"/>
      <name val="Tahoma"/>
      <family val="2"/>
    </font>
    <font>
      <sz val="5.75"/>
      <name val="Tahoma"/>
      <family val="0"/>
    </font>
    <font>
      <b/>
      <sz val="7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42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73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 applyProtection="1">
      <alignment horizontal="left" vertical="top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2" fillId="2" borderId="0" xfId="0" applyFont="1" applyFill="1" applyAlignment="1">
      <alignment horizontal="center"/>
    </xf>
    <xf numFmtId="173" fontId="12" fillId="0" borderId="6" xfId="0" applyNumberFormat="1" applyFont="1" applyBorder="1" applyAlignment="1">
      <alignment horizontal="center" vertical="center"/>
    </xf>
    <xf numFmtId="173" fontId="12" fillId="0" borderId="7" xfId="0" applyNumberFormat="1" applyFont="1" applyBorder="1" applyAlignment="1">
      <alignment horizontal="center" vertical="center"/>
    </xf>
    <xf numFmtId="173" fontId="1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73" fontId="12" fillId="0" borderId="1" xfId="0" applyNumberFormat="1" applyFont="1" applyBorder="1" applyAlignment="1">
      <alignment horizontal="center" vertical="center"/>
    </xf>
    <xf numFmtId="173" fontId="12" fillId="0" borderId="2" xfId="0" applyNumberFormat="1" applyFont="1" applyBorder="1" applyAlignment="1">
      <alignment horizontal="center" vertical="center"/>
    </xf>
    <xf numFmtId="173" fontId="12" fillId="0" borderId="9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horizontal="right" vertical="center"/>
    </xf>
    <xf numFmtId="173" fontId="0" fillId="0" borderId="11" xfId="0" applyNumberForma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horizontal="right" vertical="center"/>
    </xf>
    <xf numFmtId="173" fontId="0" fillId="0" borderId="14" xfId="0" applyNumberForma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horizontal="right" vertical="center"/>
    </xf>
    <xf numFmtId="173" fontId="0" fillId="0" borderId="17" xfId="0" applyNumberFormat="1" applyBorder="1" applyAlignment="1">
      <alignment vertical="center"/>
    </xf>
    <xf numFmtId="0" fontId="9" fillId="0" borderId="0" xfId="0" applyFont="1" applyAlignment="1" applyProtection="1">
      <alignment horizontal="left" vertical="top"/>
      <protection hidden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" borderId="4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73" fontId="0" fillId="3" borderId="7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173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 quotePrefix="1">
      <alignment horizontal="center"/>
    </xf>
    <xf numFmtId="0" fontId="0" fillId="3" borderId="2" xfId="0" applyFill="1" applyBorder="1" applyAlignment="1">
      <alignment horizontal="center"/>
    </xf>
    <xf numFmtId="173" fontId="0" fillId="3" borderId="2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73" fontId="0" fillId="4" borderId="7" xfId="0" applyNumberForma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173" fontId="0" fillId="4" borderId="23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73" fontId="0" fillId="4" borderId="2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6" borderId="3" xfId="0" applyFont="1" applyFill="1" applyBorder="1" applyAlignment="1">
      <alignment/>
    </xf>
    <xf numFmtId="0" fontId="2" fillId="6" borderId="25" xfId="0" applyFont="1" applyFill="1" applyBorder="1" applyAlignment="1">
      <alignment/>
    </xf>
    <xf numFmtId="0" fontId="2" fillId="6" borderId="5" xfId="0" applyFont="1" applyFill="1" applyBorder="1" applyAlignment="1">
      <alignment/>
    </xf>
    <xf numFmtId="0" fontId="2" fillId="6" borderId="3" xfId="0" applyFont="1" applyFill="1" applyBorder="1" applyAlignment="1">
      <alignment horizontal="center"/>
    </xf>
    <xf numFmtId="0" fontId="0" fillId="6" borderId="6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6" xfId="0" applyFill="1" applyBorder="1" applyAlignment="1">
      <alignment horizontal="center"/>
    </xf>
    <xf numFmtId="0" fontId="0" fillId="6" borderId="26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4" xfId="0" applyFill="1" applyBorder="1" applyAlignment="1">
      <alignment/>
    </xf>
    <xf numFmtId="0" fontId="0" fillId="6" borderId="26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3" xfId="0" applyFill="1" applyBorder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5" borderId="0" xfId="0" applyFill="1" applyAlignment="1">
      <alignment/>
    </xf>
    <xf numFmtId="0" fontId="17" fillId="0" borderId="0" xfId="0" applyFont="1" applyAlignment="1">
      <alignment/>
    </xf>
    <xf numFmtId="0" fontId="0" fillId="7" borderId="0" xfId="0" applyFill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" fillId="5" borderId="27" xfId="0" applyFont="1" applyFill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right" vertical="center"/>
    </xf>
    <xf numFmtId="2" fontId="2" fillId="0" borderId="2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173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173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31" fillId="0" borderId="32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173" fontId="0" fillId="0" borderId="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6" borderId="0" xfId="0" applyFont="1" applyFill="1" applyAlignment="1">
      <alignment horizontal="center"/>
    </xf>
    <xf numFmtId="1" fontId="1" fillId="7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73" fontId="1" fillId="5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5" xfId="0" applyBorder="1" applyAlignment="1">
      <alignment/>
    </xf>
    <xf numFmtId="0" fontId="12" fillId="0" borderId="6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0" fillId="0" borderId="13" xfId="0" applyBorder="1" applyAlignment="1">
      <alignment/>
    </xf>
    <xf numFmtId="0" fontId="12" fillId="0" borderId="26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0" fillId="0" borderId="16" xfId="0" applyBorder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0" fillId="0" borderId="19" xfId="0" applyBorder="1" applyAlignment="1">
      <alignment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7" xfId="0" applyBorder="1" applyAlignment="1">
      <alignment horizontal="center" vertical="center"/>
    </xf>
    <xf numFmtId="173" fontId="0" fillId="0" borderId="40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31" fillId="0" borderId="34" xfId="0" applyFont="1" applyBorder="1" applyAlignment="1">
      <alignment horizontal="right" vertical="center"/>
    </xf>
    <xf numFmtId="0" fontId="18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7" fillId="0" borderId="29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7" fillId="0" borderId="27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173" fontId="16" fillId="0" borderId="27" xfId="0" applyNumberFormat="1" applyFont="1" applyBorder="1" applyAlignment="1">
      <alignment horizontal="center" vertical="center"/>
    </xf>
    <xf numFmtId="173" fontId="16" fillId="0" borderId="28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3">
    <dxf>
      <font>
        <b/>
        <i val="0"/>
        <color rgb="FF0000FF"/>
      </font>
      <border/>
    </dxf>
    <dxf>
      <fill>
        <patternFill>
          <bgColor rgb="FFCCFFFF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spPr>
            <a:pattFill prst="trellis">
              <a:fgClr>
                <a:srgbClr val="00CCFF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Azioni!$A$13:$A$22</c:f>
              <c:strCache/>
            </c:strRef>
          </c:cat>
          <c:val>
            <c:numRef>
              <c:f>Azioni!$H$13:$H$22</c:f>
              <c:numCache/>
            </c:numRef>
          </c:val>
        </c:ser>
        <c:axId val="1472177"/>
        <c:axId val="13249594"/>
      </c:radarChart>
      <c:catAx>
        <c:axId val="14721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solidFill>
                  <a:srgbClr val="003300"/>
                </a:solidFill>
              </a:defRPr>
            </a:pPr>
          </a:p>
        </c:txPr>
        <c:crossAx val="13249594"/>
        <c:crosses val="autoZero"/>
        <c:auto val="1"/>
        <c:lblOffset val="100"/>
        <c:noMultiLvlLbl val="0"/>
      </c:catAx>
      <c:valAx>
        <c:axId val="13249594"/>
        <c:scaling>
          <c:orientation val="minMax"/>
        </c:scaling>
        <c:axPos val="l"/>
        <c:majorGridlines>
          <c:spPr>
            <a:ln w="3175">
              <a:solidFill>
                <a:srgbClr val="FF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147217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'M2'!$A$10:$A$15</c:f>
              <c:strCache/>
            </c:strRef>
          </c:cat>
          <c:val>
            <c:numRef>
              <c:f>'M2'!$D$10:$D$15</c:f>
              <c:numCache/>
            </c:numRef>
          </c:val>
          <c:shape val="box"/>
        </c:ser>
        <c:shape val="box"/>
        <c:axId val="14091611"/>
        <c:axId val="59715636"/>
      </c:bar3DChart>
      <c:catAx>
        <c:axId val="14091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0" u="none" baseline="0"/>
            </a:pPr>
          </a:p>
        </c:txPr>
        <c:crossAx val="59715636"/>
        <c:crosses val="autoZero"/>
        <c:auto val="1"/>
        <c:lblOffset val="100"/>
        <c:noMultiLvlLbl val="0"/>
      </c:catAx>
      <c:valAx>
        <c:axId val="59715636"/>
        <c:scaling>
          <c:orientation val="minMax"/>
        </c:scaling>
        <c:axPos val="l"/>
        <c:majorGridlines>
          <c:spPr>
            <a:ln w="12700">
              <a:solidFill>
                <a:srgbClr val="0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40916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narVert">
              <a:fgClr>
                <a:srgbClr val="0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narHorz">
                <a:fgClr>
                  <a:srgbClr val="FF0000"/>
                </a:fgClr>
                <a:bgClr>
                  <a:srgbClr val="FFFFFF"/>
                </a:bgClr>
              </a:pattFill>
            </c:spPr>
          </c:dPt>
          <c:cat>
            <c:strRef>
              <c:f>'M2'!$A$29:$A$30</c:f>
              <c:strCache/>
            </c:strRef>
          </c:cat>
          <c:val>
            <c:numRef>
              <c:f>'M2'!$D$29:$D$30</c:f>
              <c:numCache/>
            </c:numRef>
          </c:val>
          <c:shape val="box"/>
        </c:ser>
        <c:shape val="box"/>
        <c:axId val="569813"/>
        <c:axId val="5128318"/>
      </c:bar3DChart>
      <c:catAx>
        <c:axId val="569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5128318"/>
        <c:crosses val="autoZero"/>
        <c:auto val="1"/>
        <c:lblOffset val="100"/>
        <c:noMultiLvlLbl val="0"/>
      </c:catAx>
      <c:valAx>
        <c:axId val="5128318"/>
        <c:scaling>
          <c:orientation val="minMax"/>
        </c:scaling>
        <c:axPos val="l"/>
        <c:majorGridlines>
          <c:spPr>
            <a:ln w="12700">
              <a:solidFill>
                <a:srgbClr val="0000FF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981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CC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trellis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'M2'!$A$48:$A$52</c:f>
              <c:strCache/>
            </c:strRef>
          </c:cat>
          <c:val>
            <c:numRef>
              <c:f>'M2'!$D$48:$D$52</c:f>
              <c:numCache/>
            </c:numRef>
          </c:val>
          <c:shape val="box"/>
        </c:ser>
        <c:shape val="box"/>
        <c:axId val="46154863"/>
        <c:axId val="12740584"/>
      </c:bar3DChart>
      <c:catAx>
        <c:axId val="46154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12740584"/>
        <c:crosses val="autoZero"/>
        <c:auto val="1"/>
        <c:lblOffset val="100"/>
        <c:noMultiLvlLbl val="0"/>
      </c:catAx>
      <c:valAx>
        <c:axId val="12740584"/>
        <c:scaling>
          <c:orientation val="minMax"/>
        </c:scaling>
        <c:axPos val="l"/>
        <c:majorGridlines>
          <c:spPr>
            <a:ln w="12700">
              <a:solidFill>
                <a:srgbClr val="0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1548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CC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spPr>
            <a:pattFill prst="lgConfetti">
              <a:fgClr>
                <a:srgbClr val="FF00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Ruoli!$A$16:$A$24</c:f>
              <c:strCache/>
            </c:strRef>
          </c:cat>
          <c:val>
            <c:numRef>
              <c:f>Ruoli!$O$16:$O$24</c:f>
              <c:numCache/>
            </c:numRef>
          </c:val>
        </c:ser>
        <c:axId val="52137483"/>
        <c:axId val="66584164"/>
      </c:radarChart>
      <c:catAx>
        <c:axId val="521374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solidFill>
                  <a:srgbClr val="003300"/>
                </a:solidFill>
              </a:defRPr>
            </a:pPr>
          </a:p>
        </c:txPr>
        <c:crossAx val="66584164"/>
        <c:crosses val="autoZero"/>
        <c:auto val="1"/>
        <c:lblOffset val="100"/>
        <c:noMultiLvlLbl val="0"/>
      </c:catAx>
      <c:valAx>
        <c:axId val="6658416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1" i="0" u="none" baseline="0"/>
            </a:pPr>
          </a:p>
        </c:txPr>
        <c:crossAx val="52137483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25"/>
          <c:y val="0.10075"/>
          <c:w val="0.8025"/>
          <c:h val="0.8355"/>
        </c:manualLayout>
      </c:layout>
      <c:radarChart>
        <c:radarStyle val="filled"/>
        <c:varyColors val="0"/>
        <c:ser>
          <c:idx val="0"/>
          <c:order val="0"/>
          <c:spPr>
            <a:pattFill prst="trellis">
              <a:fgClr>
                <a:srgbClr val="00CCFF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Ruoli!$A$9:$A$15</c:f>
              <c:strCache/>
            </c:strRef>
          </c:cat>
          <c:val>
            <c:numRef>
              <c:f>Ruoli!$O$9:$O$15</c:f>
              <c:numCache/>
            </c:numRef>
          </c:val>
        </c:ser>
        <c:axId val="62386565"/>
        <c:axId val="24608174"/>
      </c:radarChart>
      <c:catAx>
        <c:axId val="623865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003300"/>
                </a:solidFill>
              </a:defRPr>
            </a:pPr>
          </a:p>
        </c:txPr>
        <c:crossAx val="24608174"/>
        <c:crosses val="autoZero"/>
        <c:auto val="1"/>
        <c:lblOffset val="100"/>
        <c:noMultiLvlLbl val="0"/>
      </c:catAx>
      <c:valAx>
        <c:axId val="24608174"/>
        <c:scaling>
          <c:orientation val="minMax"/>
          <c:max val="100"/>
        </c:scaling>
        <c:axPos val="l"/>
        <c:majorGridlines>
          <c:spPr>
            <a:ln w="3175">
              <a:solidFill>
                <a:srgbClr val="FF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1" i="0" u="none" baseline="0"/>
            </a:pPr>
          </a:p>
        </c:txPr>
        <c:crossAx val="62386565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25"/>
          <c:y val="0.10075"/>
          <c:w val="0.80225"/>
          <c:h val="0.8355"/>
        </c:manualLayout>
      </c:layout>
      <c:radarChart>
        <c:radarStyle val="filled"/>
        <c:varyColors val="0"/>
        <c:ser>
          <c:idx val="0"/>
          <c:order val="0"/>
          <c:spPr>
            <a:pattFill prst="pct70">
              <a:fgClr>
                <a:srgbClr val="99CC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Ruoli!$A$25:$A$29</c:f>
              <c:strCache/>
            </c:strRef>
          </c:cat>
          <c:val>
            <c:numRef>
              <c:f>Ruoli!$O$25:$O$29</c:f>
              <c:numCache/>
            </c:numRef>
          </c:val>
        </c:ser>
        <c:axId val="20146975"/>
        <c:axId val="47105048"/>
      </c:radarChart>
      <c:catAx>
        <c:axId val="201469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003300"/>
                </a:solidFill>
              </a:defRPr>
            </a:pPr>
          </a:p>
        </c:txPr>
        <c:crossAx val="47105048"/>
        <c:crosses val="autoZero"/>
        <c:auto val="1"/>
        <c:lblOffset val="100"/>
        <c:noMultiLvlLbl val="0"/>
      </c:catAx>
      <c:valAx>
        <c:axId val="47105048"/>
        <c:scaling>
          <c:orientation val="minMax"/>
          <c:max val="100"/>
        </c:scaling>
        <c:axPos val="l"/>
        <c:majorGridlines>
          <c:spPr>
            <a:ln w="3175">
              <a:solidFill>
                <a:srgbClr val="FF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1" i="0" u="none" baseline="0"/>
            </a:pPr>
          </a:p>
        </c:txPr>
        <c:crossAx val="20146975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smCheck">
              <a:fgClr>
                <a:srgbClr val="0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'E1'!$A$7:$W$7</c:f>
              <c:strCache/>
            </c:strRef>
          </c:cat>
          <c:val>
            <c:numRef>
              <c:f>'E1'!$A$8:$W$8</c:f>
              <c:numCache/>
            </c:numRef>
          </c:val>
        </c:ser>
        <c:axId val="21292249"/>
        <c:axId val="57412514"/>
      </c:barChart>
      <c:catAx>
        <c:axId val="2129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/>
            </a:pPr>
          </a:p>
        </c:txPr>
        <c:crossAx val="57412514"/>
        <c:crosses val="autoZero"/>
        <c:auto val="1"/>
        <c:lblOffset val="100"/>
        <c:noMultiLvlLbl val="0"/>
      </c:catAx>
      <c:valAx>
        <c:axId val="57412514"/>
        <c:scaling>
          <c:orientation val="minMax"/>
          <c:max val="100"/>
          <c:min val="0"/>
        </c:scaling>
        <c:axPos val="l"/>
        <c:majorGridlines>
          <c:spPr>
            <a:ln w="12700">
              <a:solidFill>
                <a:srgbClr val="FF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1292249"/>
        <c:crossesAt val="1"/>
        <c:crossBetween val="between"/>
        <c:dispUnits/>
        <c:majorUnit val="33.3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'E2'!$A$10:$A$15</c:f>
              <c:strCache/>
            </c:strRef>
          </c:cat>
          <c:val>
            <c:numRef>
              <c:f>'E2'!$D$10:$D$15</c:f>
              <c:numCache/>
            </c:numRef>
          </c:val>
          <c:shape val="box"/>
        </c:ser>
        <c:shape val="box"/>
        <c:axId val="46950579"/>
        <c:axId val="19902028"/>
      </c:bar3DChart>
      <c:catAx>
        <c:axId val="4695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0" u="none" baseline="0"/>
            </a:pPr>
          </a:p>
        </c:txPr>
        <c:crossAx val="19902028"/>
        <c:crosses val="autoZero"/>
        <c:auto val="1"/>
        <c:lblOffset val="100"/>
        <c:noMultiLvlLbl val="0"/>
      </c:catAx>
      <c:valAx>
        <c:axId val="19902028"/>
        <c:scaling>
          <c:orientation val="minMax"/>
        </c:scaling>
        <c:axPos val="l"/>
        <c:majorGridlines>
          <c:spPr>
            <a:ln w="12700">
              <a:solidFill>
                <a:srgbClr val="0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69505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narVert">
              <a:fgClr>
                <a:srgbClr val="0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narHorz">
                <a:fgClr>
                  <a:srgbClr val="FF0000"/>
                </a:fgClr>
                <a:bgClr>
                  <a:srgbClr val="FFFFFF"/>
                </a:bgClr>
              </a:pattFill>
            </c:spPr>
          </c:dPt>
          <c:cat>
            <c:strRef>
              <c:f>'E2'!$A$29:$A$30</c:f>
              <c:strCache/>
            </c:strRef>
          </c:cat>
          <c:val>
            <c:numRef>
              <c:f>'E2'!$D$29:$D$30</c:f>
              <c:numCache/>
            </c:numRef>
          </c:val>
          <c:shape val="box"/>
        </c:ser>
        <c:shape val="box"/>
        <c:axId val="44900525"/>
        <c:axId val="1451542"/>
      </c:bar3DChart>
      <c:catAx>
        <c:axId val="44900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1451542"/>
        <c:crosses val="autoZero"/>
        <c:auto val="1"/>
        <c:lblOffset val="100"/>
        <c:noMultiLvlLbl val="0"/>
      </c:catAx>
      <c:valAx>
        <c:axId val="1451542"/>
        <c:scaling>
          <c:orientation val="minMax"/>
        </c:scaling>
        <c:axPos val="l"/>
        <c:majorGridlines>
          <c:spPr>
            <a:ln w="12700">
              <a:solidFill>
                <a:srgbClr val="0000FF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90052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CC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trellis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'E2'!$A$47:$A$51</c:f>
              <c:strCache/>
            </c:strRef>
          </c:cat>
          <c:val>
            <c:numRef>
              <c:f>'E2'!$D$47:$D$51</c:f>
              <c:numCache/>
            </c:numRef>
          </c:val>
          <c:shape val="box"/>
        </c:ser>
        <c:shape val="box"/>
        <c:axId val="13063879"/>
        <c:axId val="50466048"/>
      </c:bar3DChart>
      <c:catAx>
        <c:axId val="13063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50466048"/>
        <c:crosses val="autoZero"/>
        <c:auto val="1"/>
        <c:lblOffset val="100"/>
        <c:noMultiLvlLbl val="0"/>
      </c:catAx>
      <c:valAx>
        <c:axId val="50466048"/>
        <c:scaling>
          <c:orientation val="minMax"/>
        </c:scaling>
        <c:axPos val="l"/>
        <c:majorGridlines>
          <c:spPr>
            <a:ln w="12700">
              <a:solidFill>
                <a:srgbClr val="0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0638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CC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smCheck">
              <a:fgClr>
                <a:srgbClr val="0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'M1'!$A$7:$W$7</c:f>
              <c:strCache/>
            </c:strRef>
          </c:cat>
          <c:val>
            <c:numRef>
              <c:f>'M1'!$A$8:$W$8</c:f>
              <c:numCache/>
            </c:numRef>
          </c:val>
        </c:ser>
        <c:axId val="51541249"/>
        <c:axId val="61218058"/>
      </c:barChart>
      <c:catAx>
        <c:axId val="51541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/>
            </a:pPr>
          </a:p>
        </c:txPr>
        <c:crossAx val="61218058"/>
        <c:crosses val="autoZero"/>
        <c:auto val="1"/>
        <c:lblOffset val="100"/>
        <c:noMultiLvlLbl val="0"/>
      </c:catAx>
      <c:valAx>
        <c:axId val="61218058"/>
        <c:scaling>
          <c:orientation val="minMax"/>
          <c:max val="100"/>
          <c:min val="0"/>
        </c:scaling>
        <c:axPos val="l"/>
        <c:majorGridlines>
          <c:spPr>
            <a:ln w="12700">
              <a:solidFill>
                <a:srgbClr val="FF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1541249"/>
        <c:crossesAt val="1"/>
        <c:crossBetween val="between"/>
        <c:dispUnits/>
        <c:majorUnit val="33.3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152400</xdr:rowOff>
    </xdr:from>
    <xdr:to>
      <xdr:col>14</xdr:col>
      <xdr:colOff>381000</xdr:colOff>
      <xdr:row>51</xdr:row>
      <xdr:rowOff>152400</xdr:rowOff>
    </xdr:to>
    <xdr:graphicFrame>
      <xdr:nvGraphicFramePr>
        <xdr:cNvPr id="1" name="Chart 1"/>
        <xdr:cNvGraphicFramePr/>
      </xdr:nvGraphicFramePr>
      <xdr:xfrm>
        <a:off x="28575" y="4648200"/>
        <a:ext cx="58197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47625</xdr:rowOff>
    </xdr:from>
    <xdr:to>
      <xdr:col>15</xdr:col>
      <xdr:colOff>209550</xdr:colOff>
      <xdr:row>76</xdr:row>
      <xdr:rowOff>0</xdr:rowOff>
    </xdr:to>
    <xdr:graphicFrame>
      <xdr:nvGraphicFramePr>
        <xdr:cNvPr id="1" name="Chart 1"/>
        <xdr:cNvGraphicFramePr/>
      </xdr:nvGraphicFramePr>
      <xdr:xfrm>
        <a:off x="0" y="11287125"/>
        <a:ext cx="60674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38</xdr:row>
      <xdr:rowOff>76200</xdr:rowOff>
    </xdr:from>
    <xdr:to>
      <xdr:col>7</xdr:col>
      <xdr:colOff>304800</xdr:colOff>
      <xdr:row>52</xdr:row>
      <xdr:rowOff>47625</xdr:rowOff>
    </xdr:to>
    <xdr:graphicFrame>
      <xdr:nvGraphicFramePr>
        <xdr:cNvPr id="2" name="Chart 2"/>
        <xdr:cNvGraphicFramePr/>
      </xdr:nvGraphicFramePr>
      <xdr:xfrm>
        <a:off x="19050" y="7753350"/>
        <a:ext cx="30194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38</xdr:row>
      <xdr:rowOff>76200</xdr:rowOff>
    </xdr:from>
    <xdr:to>
      <xdr:col>15</xdr:col>
      <xdr:colOff>285750</xdr:colOff>
      <xdr:row>52</xdr:row>
      <xdr:rowOff>47625</xdr:rowOff>
    </xdr:to>
    <xdr:graphicFrame>
      <xdr:nvGraphicFramePr>
        <xdr:cNvPr id="3" name="Chart 3"/>
        <xdr:cNvGraphicFramePr/>
      </xdr:nvGraphicFramePr>
      <xdr:xfrm>
        <a:off x="3124200" y="7753350"/>
        <a:ext cx="301942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22</xdr:col>
      <xdr:colOff>9525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9525" y="2152650"/>
        <a:ext cx="81724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0</xdr:rowOff>
    </xdr:from>
    <xdr:to>
      <xdr:col>15</xdr:col>
      <xdr:colOff>342900</xdr:colOff>
      <xdr:row>23</xdr:row>
      <xdr:rowOff>142875</xdr:rowOff>
    </xdr:to>
    <xdr:graphicFrame>
      <xdr:nvGraphicFramePr>
        <xdr:cNvPr id="1" name="Chart 2"/>
        <xdr:cNvGraphicFramePr/>
      </xdr:nvGraphicFramePr>
      <xdr:xfrm>
        <a:off x="1914525" y="1962150"/>
        <a:ext cx="41433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27</xdr:row>
      <xdr:rowOff>219075</xdr:rowOff>
    </xdr:from>
    <xdr:to>
      <xdr:col>12</xdr:col>
      <xdr:colOff>361950</xdr:colOff>
      <xdr:row>42</xdr:row>
      <xdr:rowOff>152400</xdr:rowOff>
    </xdr:to>
    <xdr:graphicFrame>
      <xdr:nvGraphicFramePr>
        <xdr:cNvPr id="2" name="Chart 3"/>
        <xdr:cNvGraphicFramePr/>
      </xdr:nvGraphicFramePr>
      <xdr:xfrm>
        <a:off x="1905000" y="6162675"/>
        <a:ext cx="30289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46</xdr:row>
      <xdr:rowOff>0</xdr:rowOff>
    </xdr:from>
    <xdr:to>
      <xdr:col>15</xdr:col>
      <xdr:colOff>342900</xdr:colOff>
      <xdr:row>57</xdr:row>
      <xdr:rowOff>209550</xdr:rowOff>
    </xdr:to>
    <xdr:graphicFrame>
      <xdr:nvGraphicFramePr>
        <xdr:cNvPr id="3" name="Chart 5"/>
        <xdr:cNvGraphicFramePr/>
      </xdr:nvGraphicFramePr>
      <xdr:xfrm>
        <a:off x="1914525" y="9353550"/>
        <a:ext cx="41433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22</xdr:col>
      <xdr:colOff>9525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9525" y="2152650"/>
        <a:ext cx="81724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0</xdr:rowOff>
    </xdr:from>
    <xdr:to>
      <xdr:col>15</xdr:col>
      <xdr:colOff>342900</xdr:colOff>
      <xdr:row>23</xdr:row>
      <xdr:rowOff>142875</xdr:rowOff>
    </xdr:to>
    <xdr:graphicFrame>
      <xdr:nvGraphicFramePr>
        <xdr:cNvPr id="1" name="Chart 2"/>
        <xdr:cNvGraphicFramePr/>
      </xdr:nvGraphicFramePr>
      <xdr:xfrm>
        <a:off x="1914525" y="1962150"/>
        <a:ext cx="41433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27</xdr:row>
      <xdr:rowOff>219075</xdr:rowOff>
    </xdr:from>
    <xdr:to>
      <xdr:col>12</xdr:col>
      <xdr:colOff>361950</xdr:colOff>
      <xdr:row>42</xdr:row>
      <xdr:rowOff>152400</xdr:rowOff>
    </xdr:to>
    <xdr:graphicFrame>
      <xdr:nvGraphicFramePr>
        <xdr:cNvPr id="2" name="Chart 3"/>
        <xdr:cNvGraphicFramePr/>
      </xdr:nvGraphicFramePr>
      <xdr:xfrm>
        <a:off x="1905000" y="6162675"/>
        <a:ext cx="30289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47</xdr:row>
      <xdr:rowOff>0</xdr:rowOff>
    </xdr:from>
    <xdr:to>
      <xdr:col>15</xdr:col>
      <xdr:colOff>342900</xdr:colOff>
      <xdr:row>58</xdr:row>
      <xdr:rowOff>209550</xdr:rowOff>
    </xdr:to>
    <xdr:graphicFrame>
      <xdr:nvGraphicFramePr>
        <xdr:cNvPr id="3" name="Chart 5"/>
        <xdr:cNvGraphicFramePr/>
      </xdr:nvGraphicFramePr>
      <xdr:xfrm>
        <a:off x="1914525" y="9515475"/>
        <a:ext cx="41433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showRowColHeaders="0" tabSelected="1" workbookViewId="0" topLeftCell="A1">
      <selection activeCell="I29" sqref="I29"/>
    </sheetView>
  </sheetViews>
  <sheetFormatPr defaultColWidth="9.140625" defaultRowHeight="12.75"/>
  <cols>
    <col min="2" max="2" width="6.7109375" style="0" customWidth="1"/>
    <col min="3" max="3" width="34.7109375" style="0" customWidth="1"/>
    <col min="4" max="9" width="9.28125" style="0" customWidth="1"/>
    <col min="10" max="10" width="10.57421875" style="0" customWidth="1"/>
  </cols>
  <sheetData>
    <row r="1" spans="1:2" s="10" customFormat="1" ht="15.75">
      <c r="A1" s="9" t="s">
        <v>29</v>
      </c>
      <c r="B1" s="9"/>
    </row>
    <row r="2" s="10" customFormat="1" ht="12.75"/>
    <row r="3" spans="1:2" s="10" customFormat="1" ht="15.75">
      <c r="A3" s="40" t="s">
        <v>186</v>
      </c>
      <c r="B3" s="40"/>
    </row>
    <row r="5" spans="1:9" ht="12.75">
      <c r="A5" s="66" t="s">
        <v>70</v>
      </c>
      <c r="B5" s="67" t="s">
        <v>96</v>
      </c>
      <c r="C5" s="68" t="s">
        <v>184</v>
      </c>
      <c r="D5" s="69" t="s">
        <v>97</v>
      </c>
      <c r="E5" s="44" t="s">
        <v>98</v>
      </c>
      <c r="F5" s="44" t="s">
        <v>187</v>
      </c>
      <c r="G5" s="53" t="s">
        <v>99</v>
      </c>
      <c r="H5" s="53" t="s">
        <v>188</v>
      </c>
      <c r="I5" s="61" t="s">
        <v>100</v>
      </c>
    </row>
    <row r="6" spans="1:9" ht="12.75">
      <c r="A6" s="70" t="s">
        <v>41</v>
      </c>
      <c r="B6" s="71" t="s">
        <v>101</v>
      </c>
      <c r="C6" s="72" t="s">
        <v>42</v>
      </c>
      <c r="D6" s="73">
        <v>22</v>
      </c>
      <c r="E6" s="45">
        <v>20</v>
      </c>
      <c r="F6" s="46">
        <f>E6*100/D6</f>
        <v>90.9090909090909</v>
      </c>
      <c r="G6" s="54">
        <v>21</v>
      </c>
      <c r="H6" s="55">
        <f>G6*100/D6</f>
        <v>95.45454545454545</v>
      </c>
      <c r="I6" s="62">
        <v>1</v>
      </c>
    </row>
    <row r="7" spans="1:9" ht="12.75">
      <c r="A7" s="74" t="s">
        <v>43</v>
      </c>
      <c r="B7" s="75" t="s">
        <v>102</v>
      </c>
      <c r="C7" s="76" t="s">
        <v>44</v>
      </c>
      <c r="D7" s="77">
        <v>21</v>
      </c>
      <c r="E7" s="47">
        <v>17</v>
      </c>
      <c r="F7" s="48">
        <f aca="true" t="shared" si="0" ref="F7:F20">E7*100/D7</f>
        <v>80.95238095238095</v>
      </c>
      <c r="G7" s="56">
        <v>18</v>
      </c>
      <c r="H7" s="57">
        <f aca="true" t="shared" si="1" ref="H7:H20">G7*100/D7</f>
        <v>85.71428571428571</v>
      </c>
      <c r="I7" s="63">
        <v>1</v>
      </c>
    </row>
    <row r="8" spans="1:9" ht="12.75">
      <c r="A8" s="74" t="s">
        <v>45</v>
      </c>
      <c r="B8" s="75" t="s">
        <v>102</v>
      </c>
      <c r="C8" s="76" t="s">
        <v>46</v>
      </c>
      <c r="D8" s="77">
        <v>42</v>
      </c>
      <c r="E8" s="47">
        <v>41</v>
      </c>
      <c r="F8" s="48">
        <f t="shared" si="0"/>
        <v>97.61904761904762</v>
      </c>
      <c r="G8" s="56">
        <v>40</v>
      </c>
      <c r="H8" s="57">
        <f t="shared" si="1"/>
        <v>95.23809523809524</v>
      </c>
      <c r="I8" s="63">
        <v>1</v>
      </c>
    </row>
    <row r="9" spans="1:9" ht="12.75">
      <c r="A9" s="74" t="s">
        <v>47</v>
      </c>
      <c r="B9" s="75" t="s">
        <v>102</v>
      </c>
      <c r="C9" s="76" t="s">
        <v>185</v>
      </c>
      <c r="D9" s="77">
        <v>24</v>
      </c>
      <c r="E9" s="49" t="s">
        <v>189</v>
      </c>
      <c r="F9" s="48" t="s">
        <v>189</v>
      </c>
      <c r="G9" s="56">
        <v>19</v>
      </c>
      <c r="H9" s="57">
        <f t="shared" si="1"/>
        <v>79.16666666666667</v>
      </c>
      <c r="I9" s="63" t="s">
        <v>189</v>
      </c>
    </row>
    <row r="10" spans="1:9" ht="12.75">
      <c r="A10" s="74" t="s">
        <v>48</v>
      </c>
      <c r="B10" s="75" t="s">
        <v>103</v>
      </c>
      <c r="C10" s="76" t="s">
        <v>49</v>
      </c>
      <c r="D10" s="77">
        <v>16</v>
      </c>
      <c r="E10" s="47">
        <v>15</v>
      </c>
      <c r="F10" s="48">
        <f t="shared" si="0"/>
        <v>93.75</v>
      </c>
      <c r="G10" s="56">
        <v>15</v>
      </c>
      <c r="H10" s="57">
        <f t="shared" si="1"/>
        <v>93.75</v>
      </c>
      <c r="I10" s="63">
        <v>1</v>
      </c>
    </row>
    <row r="11" spans="1:9" ht="12.75">
      <c r="A11" s="74" t="s">
        <v>50</v>
      </c>
      <c r="B11" s="75" t="s">
        <v>103</v>
      </c>
      <c r="C11" s="76" t="s">
        <v>51</v>
      </c>
      <c r="D11" s="77">
        <v>25</v>
      </c>
      <c r="E11" s="47">
        <v>20</v>
      </c>
      <c r="F11" s="48">
        <f t="shared" si="0"/>
        <v>80</v>
      </c>
      <c r="G11" s="56">
        <v>21</v>
      </c>
      <c r="H11" s="57">
        <f t="shared" si="1"/>
        <v>84</v>
      </c>
      <c r="I11" s="63">
        <v>1</v>
      </c>
    </row>
    <row r="12" spans="1:9" ht="12.75">
      <c r="A12" s="74" t="s">
        <v>52</v>
      </c>
      <c r="B12" s="75" t="s">
        <v>104</v>
      </c>
      <c r="C12" s="76" t="s">
        <v>53</v>
      </c>
      <c r="D12" s="77">
        <v>15</v>
      </c>
      <c r="E12" s="47" t="s">
        <v>189</v>
      </c>
      <c r="F12" s="48" t="s">
        <v>189</v>
      </c>
      <c r="G12" s="56" t="s">
        <v>189</v>
      </c>
      <c r="H12" s="57" t="s">
        <v>189</v>
      </c>
      <c r="I12" s="63" t="s">
        <v>189</v>
      </c>
    </row>
    <row r="13" spans="1:9" ht="12.75">
      <c r="A13" s="74" t="s">
        <v>54</v>
      </c>
      <c r="B13" s="75" t="s">
        <v>104</v>
      </c>
      <c r="C13" s="76" t="s">
        <v>55</v>
      </c>
      <c r="D13" s="77">
        <v>16</v>
      </c>
      <c r="E13" s="47">
        <v>16</v>
      </c>
      <c r="F13" s="48">
        <f t="shared" si="0"/>
        <v>100</v>
      </c>
      <c r="G13" s="56">
        <v>16</v>
      </c>
      <c r="H13" s="57">
        <f t="shared" si="1"/>
        <v>100</v>
      </c>
      <c r="I13" s="63">
        <v>1</v>
      </c>
    </row>
    <row r="14" spans="1:9" ht="12.75">
      <c r="A14" s="74" t="s">
        <v>56</v>
      </c>
      <c r="B14" s="75" t="s">
        <v>105</v>
      </c>
      <c r="C14" s="76" t="s">
        <v>57</v>
      </c>
      <c r="D14" s="77">
        <v>26</v>
      </c>
      <c r="E14" s="47">
        <v>26</v>
      </c>
      <c r="F14" s="48">
        <f t="shared" si="0"/>
        <v>100</v>
      </c>
      <c r="G14" s="56">
        <v>25</v>
      </c>
      <c r="H14" s="57">
        <f t="shared" si="1"/>
        <v>96.15384615384616</v>
      </c>
      <c r="I14" s="63">
        <v>1</v>
      </c>
    </row>
    <row r="15" spans="1:9" ht="12.75">
      <c r="A15" s="74" t="s">
        <v>58</v>
      </c>
      <c r="B15" s="75" t="s">
        <v>105</v>
      </c>
      <c r="C15" s="76" t="s">
        <v>59</v>
      </c>
      <c r="D15" s="77">
        <v>26</v>
      </c>
      <c r="E15" s="47">
        <v>26</v>
      </c>
      <c r="F15" s="48">
        <f t="shared" si="0"/>
        <v>100</v>
      </c>
      <c r="G15" s="56">
        <v>25</v>
      </c>
      <c r="H15" s="57">
        <f t="shared" si="1"/>
        <v>96.15384615384616</v>
      </c>
      <c r="I15" s="63" t="s">
        <v>189</v>
      </c>
    </row>
    <row r="16" spans="1:9" ht="12.75">
      <c r="A16" s="74" t="s">
        <v>60</v>
      </c>
      <c r="B16" s="75" t="s">
        <v>105</v>
      </c>
      <c r="C16" s="76" t="s">
        <v>61</v>
      </c>
      <c r="D16" s="77">
        <v>25</v>
      </c>
      <c r="E16" s="47">
        <v>25</v>
      </c>
      <c r="F16" s="48">
        <f t="shared" si="0"/>
        <v>100</v>
      </c>
      <c r="G16" s="56">
        <v>25</v>
      </c>
      <c r="H16" s="57">
        <f t="shared" si="1"/>
        <v>100</v>
      </c>
      <c r="I16" s="63">
        <v>1</v>
      </c>
    </row>
    <row r="17" spans="1:9" ht="12.75">
      <c r="A17" s="74" t="s">
        <v>62</v>
      </c>
      <c r="B17" s="75" t="s">
        <v>105</v>
      </c>
      <c r="C17" s="76" t="s">
        <v>63</v>
      </c>
      <c r="D17" s="77">
        <v>23</v>
      </c>
      <c r="E17" s="47">
        <v>23</v>
      </c>
      <c r="F17" s="48">
        <f t="shared" si="0"/>
        <v>100</v>
      </c>
      <c r="G17" s="56">
        <v>23</v>
      </c>
      <c r="H17" s="57">
        <f t="shared" si="1"/>
        <v>100</v>
      </c>
      <c r="I17" s="63">
        <v>1</v>
      </c>
    </row>
    <row r="18" spans="1:9" ht="12.75">
      <c r="A18" s="74" t="s">
        <v>64</v>
      </c>
      <c r="B18" s="75" t="s">
        <v>106</v>
      </c>
      <c r="C18" s="76" t="s">
        <v>65</v>
      </c>
      <c r="D18" s="77">
        <v>18</v>
      </c>
      <c r="E18" s="47">
        <v>15</v>
      </c>
      <c r="F18" s="48">
        <f t="shared" si="0"/>
        <v>83.33333333333333</v>
      </c>
      <c r="G18" s="56">
        <v>17</v>
      </c>
      <c r="H18" s="57">
        <f t="shared" si="1"/>
        <v>94.44444444444444</v>
      </c>
      <c r="I18" s="63">
        <v>1</v>
      </c>
    </row>
    <row r="19" spans="1:9" ht="12.75">
      <c r="A19" s="74" t="s">
        <v>66</v>
      </c>
      <c r="B19" s="75" t="s">
        <v>106</v>
      </c>
      <c r="C19" s="76" t="s">
        <v>67</v>
      </c>
      <c r="D19" s="77">
        <v>15</v>
      </c>
      <c r="E19" s="47">
        <v>13</v>
      </c>
      <c r="F19" s="48">
        <f t="shared" si="0"/>
        <v>86.66666666666667</v>
      </c>
      <c r="G19" s="56">
        <v>10</v>
      </c>
      <c r="H19" s="57">
        <f t="shared" si="1"/>
        <v>66.66666666666667</v>
      </c>
      <c r="I19" s="63">
        <v>1</v>
      </c>
    </row>
    <row r="20" spans="1:9" ht="12.75">
      <c r="A20" s="78" t="s">
        <v>68</v>
      </c>
      <c r="B20" s="79" t="s">
        <v>106</v>
      </c>
      <c r="C20" s="80" t="s">
        <v>69</v>
      </c>
      <c r="D20" s="81">
        <v>21</v>
      </c>
      <c r="E20" s="50">
        <v>20</v>
      </c>
      <c r="F20" s="51">
        <f t="shared" si="0"/>
        <v>95.23809523809524</v>
      </c>
      <c r="G20" s="58">
        <v>21</v>
      </c>
      <c r="H20" s="59">
        <f t="shared" si="1"/>
        <v>100</v>
      </c>
      <c r="I20" s="64">
        <v>1</v>
      </c>
    </row>
    <row r="21" spans="1:9" ht="12.75">
      <c r="A21" s="82"/>
      <c r="B21" s="82"/>
      <c r="C21" s="82"/>
      <c r="D21" s="83">
        <f>SUM(D6:D20)</f>
        <v>335</v>
      </c>
      <c r="E21" s="52">
        <f>SUM(E6:E20)</f>
        <v>277</v>
      </c>
      <c r="F21" s="52" t="s">
        <v>189</v>
      </c>
      <c r="G21" s="60">
        <f>SUM(G6:G20)</f>
        <v>296</v>
      </c>
      <c r="H21" s="60" t="s">
        <v>189</v>
      </c>
      <c r="I21" s="65">
        <v>12</v>
      </c>
    </row>
    <row r="22" spans="1:2" ht="12.75">
      <c r="A22" s="1" t="s">
        <v>183</v>
      </c>
      <c r="B22" s="1"/>
    </row>
    <row r="23" spans="1:2" ht="12.75">
      <c r="A23" t="s">
        <v>97</v>
      </c>
      <c r="B23" t="s">
        <v>179</v>
      </c>
    </row>
    <row r="24" spans="1:2" ht="12.75">
      <c r="A24" t="s">
        <v>98</v>
      </c>
      <c r="B24" t="s">
        <v>182</v>
      </c>
    </row>
    <row r="25" spans="1:2" ht="12.75">
      <c r="A25" t="s">
        <v>99</v>
      </c>
      <c r="B25" t="s">
        <v>181</v>
      </c>
    </row>
    <row r="26" spans="1:2" ht="12.75">
      <c r="A26" t="s">
        <v>100</v>
      </c>
      <c r="B26" t="s">
        <v>180</v>
      </c>
    </row>
  </sheetData>
  <printOptions/>
  <pageMargins left="0.75" right="0.75" top="1" bottom="1" header="0.5" footer="0.5"/>
  <pageSetup horizontalDpi="360" verticalDpi="360" orientation="landscape" paperSize="9" r:id="rId1"/>
  <headerFooter alignWithMargins="0">
    <oddFooter>&amp;L&amp;8Analisi dei dati a cura di Sante Velo&amp;C&amp;8&amp;F [&amp;A]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52"/>
  <sheetViews>
    <sheetView showGridLines="0" showRowColHeaders="0" workbookViewId="0" topLeftCell="A1">
      <selection activeCell="H8" sqref="H8"/>
    </sheetView>
  </sheetViews>
  <sheetFormatPr defaultColWidth="9.140625" defaultRowHeight="12.75"/>
  <cols>
    <col min="1" max="16" width="5.7109375" style="0" customWidth="1"/>
    <col min="17" max="17" width="0.9921875" style="0" customWidth="1"/>
    <col min="18" max="20" width="5.7109375" style="0" customWidth="1"/>
  </cols>
  <sheetData>
    <row r="1" ht="15.75">
      <c r="A1" s="9" t="s">
        <v>29</v>
      </c>
    </row>
    <row r="2" ht="12.75">
      <c r="A2" s="10"/>
    </row>
    <row r="3" ht="15.75">
      <c r="A3" s="11" t="s">
        <v>30</v>
      </c>
    </row>
    <row r="5" spans="1:16" ht="33" customHeight="1">
      <c r="A5" s="25">
        <v>1</v>
      </c>
      <c r="B5" s="185" t="str">
        <f>IF(A5="","",VLOOKUP(A5,Q_2,2,FALSE))</f>
        <v>Collaborare con gli altri per raggiungere un obiettivo comune. 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7"/>
      <c r="O5" s="188">
        <f>IF(A5="","",HLOOKUP(VLOOKUP(A5,Q_1,3,FALSE),C_2,2,FALSE))</f>
        <v>97.83393501805054</v>
      </c>
      <c r="P5" s="189"/>
    </row>
    <row r="6" ht="15.75" customHeight="1">
      <c r="P6" s="26" t="s">
        <v>176</v>
      </c>
    </row>
    <row r="8" ht="18" customHeight="1">
      <c r="A8" s="27" t="s">
        <v>177</v>
      </c>
    </row>
    <row r="9" ht="18" customHeight="1"/>
    <row r="10" spans="1:4" ht="18" customHeight="1">
      <c r="A10" s="28" t="s">
        <v>101</v>
      </c>
      <c r="B10" s="29" t="s">
        <v>165</v>
      </c>
      <c r="C10" s="30"/>
      <c r="D10" s="31">
        <f>IF($A$5="","",HLOOKUP(VLOOKUP($A$5,Q_1,3,FALSE),C_2,3,FALSE))</f>
        <v>100</v>
      </c>
    </row>
    <row r="11" spans="1:4" ht="18" customHeight="1">
      <c r="A11" s="32" t="s">
        <v>102</v>
      </c>
      <c r="B11" s="33" t="s">
        <v>167</v>
      </c>
      <c r="C11" s="34"/>
      <c r="D11" s="35">
        <f>IF($A$5="","",HLOOKUP(VLOOKUP($A$5,Q_1,3,FALSE),C_2,4,FALSE))</f>
        <v>98.27586206896552</v>
      </c>
    </row>
    <row r="12" spans="1:4" ht="18" customHeight="1">
      <c r="A12" s="32" t="s">
        <v>103</v>
      </c>
      <c r="B12" s="33" t="s">
        <v>168</v>
      </c>
      <c r="C12" s="34"/>
      <c r="D12" s="35">
        <f>IF($A$5="","",HLOOKUP(VLOOKUP($A$5,Q_1,3,FALSE),C_2,5,FALSE))</f>
        <v>100</v>
      </c>
    </row>
    <row r="13" spans="1:4" ht="18" customHeight="1">
      <c r="A13" s="32" t="s">
        <v>104</v>
      </c>
      <c r="B13" s="33" t="s">
        <v>169</v>
      </c>
      <c r="C13" s="34"/>
      <c r="D13" s="35">
        <f>IF($A$5="","",HLOOKUP(VLOOKUP($A$5,Q_1,3,FALSE),C_2,6,FALSE))</f>
        <v>93.75</v>
      </c>
    </row>
    <row r="14" spans="1:4" ht="18" customHeight="1">
      <c r="A14" s="32" t="s">
        <v>105</v>
      </c>
      <c r="B14" s="33" t="s">
        <v>170</v>
      </c>
      <c r="C14" s="34"/>
      <c r="D14" s="35">
        <f>IF($A$5="","",HLOOKUP(VLOOKUP($A$5,Q_1,3,FALSE),C_2,7,FALSE))</f>
        <v>97</v>
      </c>
    </row>
    <row r="15" spans="1:4" ht="18" customHeight="1">
      <c r="A15" s="36" t="s">
        <v>106</v>
      </c>
      <c r="B15" s="37" t="s">
        <v>171</v>
      </c>
      <c r="C15" s="38"/>
      <c r="D15" s="39">
        <f>IF($A$5="","",HLOOKUP(VLOOKUP($A$5,Q_1,3,FALSE),C_2,8,FALSE))</f>
        <v>97.91666666666667</v>
      </c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7" ht="18" customHeight="1">
      <c r="A27" s="27" t="s">
        <v>178</v>
      </c>
    </row>
    <row r="28" ht="18" customHeight="1"/>
    <row r="29" spans="1:4" ht="18" customHeight="1">
      <c r="A29" s="28" t="s">
        <v>94</v>
      </c>
      <c r="B29" s="29" t="s">
        <v>173</v>
      </c>
      <c r="C29" s="30"/>
      <c r="D29" s="31">
        <f>IF($A$5="","",HLOOKUP(VLOOKUP($A$5,Q_1,3,FALSE),C_2,14,FALSE))</f>
        <v>98.83040935672514</v>
      </c>
    </row>
    <row r="30" spans="1:4" ht="18" customHeight="1">
      <c r="A30" s="36" t="s">
        <v>95</v>
      </c>
      <c r="B30" s="37" t="s">
        <v>162</v>
      </c>
      <c r="C30" s="38"/>
      <c r="D30" s="39">
        <f>IF($A$5="","",HLOOKUP(VLOOKUP($A$5,Q_1,3,FALSE),C_2,15,FALSE))</f>
        <v>96.22641509433963</v>
      </c>
    </row>
    <row r="46" ht="18" customHeight="1">
      <c r="A46" s="27" t="s">
        <v>31</v>
      </c>
    </row>
    <row r="47" ht="18" customHeight="1"/>
    <row r="48" spans="1:4" ht="18" customHeight="1">
      <c r="A48" s="28" t="s">
        <v>157</v>
      </c>
      <c r="B48" s="29" t="s">
        <v>32</v>
      </c>
      <c r="C48" s="30"/>
      <c r="D48" s="31">
        <f>IF($A$5="","",HLOOKUP(VLOOKUP($A$5,Q_1,3,FALSE),C_2,9,FALSE))</f>
        <v>100</v>
      </c>
    </row>
    <row r="49" spans="1:4" ht="18" customHeight="1">
      <c r="A49" s="32" t="s">
        <v>158</v>
      </c>
      <c r="B49" s="33" t="s">
        <v>33</v>
      </c>
      <c r="C49" s="34"/>
      <c r="D49" s="35">
        <f>IF($A$5="","",HLOOKUP(VLOOKUP($A$5,Q_1,3,FALSE),C_2,10,FALSE))</f>
        <v>94.11764705882354</v>
      </c>
    </row>
    <row r="50" spans="1:4" ht="18" customHeight="1">
      <c r="A50" s="32" t="s">
        <v>159</v>
      </c>
      <c r="B50" s="33" t="s">
        <v>34</v>
      </c>
      <c r="C50" s="34"/>
      <c r="D50" s="35">
        <f>IF($A$5="","",HLOOKUP(VLOOKUP($A$5,Q_1,3,FALSE),C_2,11,FALSE))</f>
        <v>99.09909909909909</v>
      </c>
    </row>
    <row r="51" spans="1:4" ht="18" customHeight="1">
      <c r="A51" s="32" t="s">
        <v>160</v>
      </c>
      <c r="B51" s="33" t="s">
        <v>35</v>
      </c>
      <c r="C51" s="34"/>
      <c r="D51" s="35">
        <f>IF($A$5="","",HLOOKUP(VLOOKUP($A$5,Q_1,3,FALSE),C_2,12,FALSE))</f>
        <v>97.5</v>
      </c>
    </row>
    <row r="52" spans="1:4" ht="18" customHeight="1">
      <c r="A52" s="36" t="s">
        <v>161</v>
      </c>
      <c r="B52" s="37" t="s">
        <v>36</v>
      </c>
      <c r="C52" s="38"/>
      <c r="D52" s="39">
        <f>IF($A$5="","",HLOOKUP(VLOOKUP($A$5,Q_1,3,FALSE),C_2,13,FALSE))</f>
        <v>100</v>
      </c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</sheetData>
  <mergeCells count="2">
    <mergeCell ref="B5:M5"/>
    <mergeCell ref="O5:P5"/>
  </mergeCells>
  <printOptions/>
  <pageMargins left="0.54" right="0.42" top="0.49" bottom="1" header="0.28" footer="0.5"/>
  <pageSetup horizontalDpi="360" verticalDpi="360" orientation="portrait" paperSize="9" r:id="rId4"/>
  <headerFooter alignWithMargins="0">
    <oddFooter>&amp;L&amp;8Analisi dei dati a cura di Sante Velo&amp;C&amp;8&amp;F [&amp;A]&amp;R&amp;8Pagina &amp;P di &amp;N</oddFooter>
  </headerFooter>
  <rowBreaks count="1" manualBreakCount="1">
    <brk id="44" max="255" man="1"/>
  </rowBreak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95"/>
  <sheetViews>
    <sheetView workbookViewId="0" topLeftCell="A47">
      <selection activeCell="B56" sqref="B56:B76"/>
    </sheetView>
  </sheetViews>
  <sheetFormatPr defaultColWidth="9.140625" defaultRowHeight="12.75"/>
  <cols>
    <col min="1" max="1" width="7.421875" style="0" customWidth="1"/>
    <col min="2" max="2" width="108.00390625" style="0" customWidth="1"/>
    <col min="3" max="3" width="5.7109375" style="0" customWidth="1"/>
  </cols>
  <sheetData>
    <row r="1" ht="12.75">
      <c r="A1" s="1" t="s">
        <v>201</v>
      </c>
    </row>
    <row r="3" spans="1:3" ht="12.75">
      <c r="A3">
        <v>1</v>
      </c>
      <c r="B3" t="s">
        <v>109</v>
      </c>
      <c r="C3" s="2" t="s">
        <v>71</v>
      </c>
    </row>
    <row r="4" spans="1:3" ht="12.75">
      <c r="A4">
        <v>2</v>
      </c>
      <c r="B4" t="s">
        <v>110</v>
      </c>
      <c r="C4" s="2" t="s">
        <v>72</v>
      </c>
    </row>
    <row r="5" spans="1:3" ht="12.75">
      <c r="A5">
        <v>3</v>
      </c>
      <c r="B5" t="s">
        <v>111</v>
      </c>
      <c r="C5" s="2" t="s">
        <v>73</v>
      </c>
    </row>
    <row r="6" spans="1:3" ht="12.75">
      <c r="A6">
        <v>4</v>
      </c>
      <c r="B6" t="s">
        <v>112</v>
      </c>
      <c r="C6" s="2" t="s">
        <v>74</v>
      </c>
    </row>
    <row r="7" spans="1:3" ht="12.75">
      <c r="A7">
        <v>5</v>
      </c>
      <c r="B7" t="s">
        <v>113</v>
      </c>
      <c r="C7" s="2" t="s">
        <v>75</v>
      </c>
    </row>
    <row r="8" spans="1:3" ht="12.75">
      <c r="A8">
        <v>6</v>
      </c>
      <c r="B8" t="s">
        <v>114</v>
      </c>
      <c r="C8" s="2" t="s">
        <v>76</v>
      </c>
    </row>
    <row r="9" spans="1:3" ht="12.75">
      <c r="A9">
        <v>7</v>
      </c>
      <c r="B9" t="s">
        <v>115</v>
      </c>
      <c r="C9" s="2" t="s">
        <v>77</v>
      </c>
    </row>
    <row r="10" spans="1:3" ht="12.75">
      <c r="A10">
        <v>8</v>
      </c>
      <c r="B10" t="s">
        <v>116</v>
      </c>
      <c r="C10" s="2" t="s">
        <v>78</v>
      </c>
    </row>
    <row r="11" spans="1:3" ht="12.75">
      <c r="A11">
        <v>9</v>
      </c>
      <c r="B11" t="s">
        <v>117</v>
      </c>
      <c r="C11" s="2" t="s">
        <v>79</v>
      </c>
    </row>
    <row r="12" spans="1:3" ht="12.75">
      <c r="A12">
        <v>10</v>
      </c>
      <c r="B12" t="s">
        <v>118</v>
      </c>
      <c r="C12" s="2" t="s">
        <v>80</v>
      </c>
    </row>
    <row r="13" spans="1:3" ht="12.75">
      <c r="A13">
        <v>11</v>
      </c>
      <c r="B13" t="s">
        <v>119</v>
      </c>
      <c r="C13" s="2" t="s">
        <v>81</v>
      </c>
    </row>
    <row r="14" spans="1:3" ht="12.75">
      <c r="A14">
        <v>12</v>
      </c>
      <c r="B14" t="s">
        <v>120</v>
      </c>
      <c r="C14" s="2" t="s">
        <v>82</v>
      </c>
    </row>
    <row r="15" spans="1:3" ht="12.75">
      <c r="A15">
        <v>13</v>
      </c>
      <c r="B15" t="s">
        <v>121</v>
      </c>
      <c r="C15" s="2" t="s">
        <v>83</v>
      </c>
    </row>
    <row r="16" spans="1:3" ht="12.75">
      <c r="A16">
        <v>14</v>
      </c>
      <c r="B16" t="s">
        <v>122</v>
      </c>
      <c r="C16" s="2" t="s">
        <v>84</v>
      </c>
    </row>
    <row r="17" spans="1:3" ht="12.75">
      <c r="A17">
        <v>15</v>
      </c>
      <c r="B17" t="s">
        <v>123</v>
      </c>
      <c r="C17" s="2" t="s">
        <v>85</v>
      </c>
    </row>
    <row r="18" spans="1:3" ht="12.75">
      <c r="A18">
        <v>16</v>
      </c>
      <c r="B18" t="s">
        <v>124</v>
      </c>
      <c r="C18" s="2" t="s">
        <v>86</v>
      </c>
    </row>
    <row r="19" spans="1:3" ht="12.75">
      <c r="A19">
        <v>17</v>
      </c>
      <c r="B19" t="s">
        <v>125</v>
      </c>
      <c r="C19" s="2" t="s">
        <v>87</v>
      </c>
    </row>
    <row r="20" spans="1:3" ht="12.75">
      <c r="A20">
        <v>18</v>
      </c>
      <c r="B20" t="s">
        <v>126</v>
      </c>
      <c r="C20" s="2" t="s">
        <v>88</v>
      </c>
    </row>
    <row r="21" spans="1:3" ht="12.75">
      <c r="A21">
        <v>19</v>
      </c>
      <c r="B21" t="s">
        <v>127</v>
      </c>
      <c r="C21" s="2" t="s">
        <v>89</v>
      </c>
    </row>
    <row r="22" spans="1:3" ht="12.75">
      <c r="A22">
        <v>20</v>
      </c>
      <c r="B22" t="s">
        <v>128</v>
      </c>
      <c r="C22" s="2" t="s">
        <v>90</v>
      </c>
    </row>
    <row r="23" spans="1:3" ht="12.75">
      <c r="A23">
        <v>21</v>
      </c>
      <c r="B23" t="s">
        <v>129</v>
      </c>
      <c r="C23" s="2" t="s">
        <v>91</v>
      </c>
    </row>
    <row r="24" spans="1:3" ht="12.75">
      <c r="A24">
        <v>22</v>
      </c>
      <c r="B24" t="s">
        <v>130</v>
      </c>
      <c r="C24" s="2" t="s">
        <v>92</v>
      </c>
    </row>
    <row r="25" spans="1:3" ht="12.75">
      <c r="A25">
        <v>23</v>
      </c>
      <c r="B25" t="s">
        <v>131</v>
      </c>
      <c r="C25" s="2" t="s">
        <v>93</v>
      </c>
    </row>
    <row r="27" ht="12.75">
      <c r="A27" s="1" t="s">
        <v>202</v>
      </c>
    </row>
    <row r="29" spans="1:3" ht="12.75">
      <c r="A29">
        <v>1</v>
      </c>
      <c r="B29" s="4" t="s">
        <v>132</v>
      </c>
      <c r="C29" s="2" t="s">
        <v>71</v>
      </c>
    </row>
    <row r="30" spans="1:3" ht="12.75">
      <c r="A30">
        <v>2</v>
      </c>
      <c r="B30" t="s">
        <v>133</v>
      </c>
      <c r="C30" s="2" t="s">
        <v>72</v>
      </c>
    </row>
    <row r="31" spans="1:3" ht="12.75">
      <c r="A31">
        <v>3</v>
      </c>
      <c r="B31" t="s">
        <v>134</v>
      </c>
      <c r="C31" s="2" t="s">
        <v>73</v>
      </c>
    </row>
    <row r="32" spans="1:3" ht="12.75">
      <c r="A32">
        <v>4</v>
      </c>
      <c r="B32" t="s">
        <v>135</v>
      </c>
      <c r="C32" s="2" t="s">
        <v>74</v>
      </c>
    </row>
    <row r="33" spans="1:3" ht="12.75">
      <c r="A33">
        <v>5</v>
      </c>
      <c r="B33" t="s">
        <v>136</v>
      </c>
      <c r="C33" s="2" t="s">
        <v>75</v>
      </c>
    </row>
    <row r="34" spans="1:3" ht="12.75">
      <c r="A34">
        <v>6</v>
      </c>
      <c r="B34" t="s">
        <v>137</v>
      </c>
      <c r="C34" s="2" t="s">
        <v>76</v>
      </c>
    </row>
    <row r="35" spans="1:3" ht="12.75">
      <c r="A35">
        <v>7</v>
      </c>
      <c r="B35" t="s">
        <v>138</v>
      </c>
      <c r="C35" s="2" t="s">
        <v>77</v>
      </c>
    </row>
    <row r="36" spans="1:3" ht="12.75">
      <c r="A36">
        <v>8</v>
      </c>
      <c r="B36" t="s">
        <v>139</v>
      </c>
      <c r="C36" s="2" t="s">
        <v>78</v>
      </c>
    </row>
    <row r="37" spans="1:3" ht="12.75">
      <c r="A37">
        <v>9</v>
      </c>
      <c r="B37" t="s">
        <v>140</v>
      </c>
      <c r="C37" s="2" t="s">
        <v>79</v>
      </c>
    </row>
    <row r="38" spans="1:3" ht="12.75">
      <c r="A38">
        <v>10</v>
      </c>
      <c r="B38" t="s">
        <v>141</v>
      </c>
      <c r="C38" s="2" t="s">
        <v>80</v>
      </c>
    </row>
    <row r="39" spans="1:3" ht="12.75">
      <c r="A39">
        <v>11</v>
      </c>
      <c r="B39" t="s">
        <v>142</v>
      </c>
      <c r="C39" s="2" t="s">
        <v>81</v>
      </c>
    </row>
    <row r="40" spans="1:3" ht="12.75">
      <c r="A40">
        <v>12</v>
      </c>
      <c r="B40" t="s">
        <v>143</v>
      </c>
      <c r="C40" s="2" t="s">
        <v>82</v>
      </c>
    </row>
    <row r="41" spans="1:3" ht="12.75">
      <c r="A41">
        <v>13</v>
      </c>
      <c r="B41" t="s">
        <v>144</v>
      </c>
      <c r="C41" s="2" t="s">
        <v>83</v>
      </c>
    </row>
    <row r="42" spans="1:3" ht="12.75">
      <c r="A42">
        <v>14</v>
      </c>
      <c r="B42" t="s">
        <v>145</v>
      </c>
      <c r="C42" s="2" t="s">
        <v>84</v>
      </c>
    </row>
    <row r="43" spans="1:3" ht="12.75">
      <c r="A43">
        <v>15</v>
      </c>
      <c r="B43" t="s">
        <v>146</v>
      </c>
      <c r="C43" s="2" t="s">
        <v>85</v>
      </c>
    </row>
    <row r="44" spans="1:3" ht="12.75">
      <c r="A44">
        <v>16</v>
      </c>
      <c r="B44" t="s">
        <v>147</v>
      </c>
      <c r="C44" s="2" t="s">
        <v>86</v>
      </c>
    </row>
    <row r="45" spans="1:3" ht="12.75">
      <c r="A45">
        <v>17</v>
      </c>
      <c r="B45" t="s">
        <v>148</v>
      </c>
      <c r="C45" s="2" t="s">
        <v>87</v>
      </c>
    </row>
    <row r="46" spans="1:3" ht="12.75">
      <c r="A46">
        <v>18</v>
      </c>
      <c r="B46" t="s">
        <v>149</v>
      </c>
      <c r="C46" s="2" t="s">
        <v>88</v>
      </c>
    </row>
    <row r="47" spans="1:3" ht="12.75">
      <c r="A47">
        <v>19</v>
      </c>
      <c r="B47" t="s">
        <v>150</v>
      </c>
      <c r="C47" s="2" t="s">
        <v>89</v>
      </c>
    </row>
    <row r="48" spans="1:3" ht="12.75">
      <c r="A48">
        <v>20</v>
      </c>
      <c r="B48" t="s">
        <v>151</v>
      </c>
      <c r="C48" s="2" t="s">
        <v>90</v>
      </c>
    </row>
    <row r="49" spans="1:3" ht="12.75">
      <c r="A49">
        <v>21</v>
      </c>
      <c r="B49" t="s">
        <v>152</v>
      </c>
      <c r="C49" s="2" t="s">
        <v>91</v>
      </c>
    </row>
    <row r="50" spans="1:3" ht="12.75">
      <c r="A50">
        <v>22</v>
      </c>
      <c r="B50" t="s">
        <v>153</v>
      </c>
      <c r="C50" s="2" t="s">
        <v>92</v>
      </c>
    </row>
    <row r="51" spans="1:3" ht="12.75">
      <c r="A51">
        <v>23</v>
      </c>
      <c r="B51" t="s">
        <v>154</v>
      </c>
      <c r="C51" s="2" t="s">
        <v>93</v>
      </c>
    </row>
    <row r="54" ht="12.75">
      <c r="A54" s="1" t="s">
        <v>203</v>
      </c>
    </row>
    <row r="56" spans="1:3" ht="12.75">
      <c r="A56" s="2" t="s">
        <v>224</v>
      </c>
      <c r="B56" s="84" t="s">
        <v>204</v>
      </c>
      <c r="C56" s="2" t="s">
        <v>224</v>
      </c>
    </row>
    <row r="57" spans="1:3" ht="12.75">
      <c r="A57" s="2" t="s">
        <v>225</v>
      </c>
      <c r="B57" s="85" t="s">
        <v>205</v>
      </c>
      <c r="C57" s="2" t="s">
        <v>225</v>
      </c>
    </row>
    <row r="58" spans="1:3" ht="12.75">
      <c r="A58" s="2" t="s">
        <v>226</v>
      </c>
      <c r="B58" s="85" t="s">
        <v>5</v>
      </c>
      <c r="C58" s="2" t="s">
        <v>226</v>
      </c>
    </row>
    <row r="59" spans="1:3" ht="12.75">
      <c r="A59" s="2" t="s">
        <v>227</v>
      </c>
      <c r="B59" s="85" t="s">
        <v>206</v>
      </c>
      <c r="C59" s="2" t="s">
        <v>227</v>
      </c>
    </row>
    <row r="60" spans="1:3" ht="12.75">
      <c r="A60" s="2" t="s">
        <v>228</v>
      </c>
      <c r="B60" s="85" t="s">
        <v>207</v>
      </c>
      <c r="C60" s="2" t="s">
        <v>228</v>
      </c>
    </row>
    <row r="61" spans="1:3" ht="12.75">
      <c r="A61" s="2" t="s">
        <v>229</v>
      </c>
      <c r="B61" s="85" t="s">
        <v>208</v>
      </c>
      <c r="C61" s="2" t="s">
        <v>229</v>
      </c>
    </row>
    <row r="62" spans="1:3" ht="12.75">
      <c r="A62" s="2" t="s">
        <v>230</v>
      </c>
      <c r="B62" s="85" t="s">
        <v>209</v>
      </c>
      <c r="C62" s="2" t="s">
        <v>230</v>
      </c>
    </row>
    <row r="63" spans="1:3" ht="12.75">
      <c r="A63" s="2" t="s">
        <v>231</v>
      </c>
      <c r="B63" s="86" t="s">
        <v>210</v>
      </c>
      <c r="C63" s="2" t="s">
        <v>231</v>
      </c>
    </row>
    <row r="64" spans="1:3" ht="12.75">
      <c r="A64" s="2" t="s">
        <v>232</v>
      </c>
      <c r="B64" s="86" t="s">
        <v>211</v>
      </c>
      <c r="C64" s="2" t="s">
        <v>232</v>
      </c>
    </row>
    <row r="65" spans="1:3" ht="12.75">
      <c r="A65" s="2" t="s">
        <v>233</v>
      </c>
      <c r="B65" s="86" t="s">
        <v>212</v>
      </c>
      <c r="C65" s="2" t="s">
        <v>233</v>
      </c>
    </row>
    <row r="66" spans="1:3" ht="12.75">
      <c r="A66" s="2" t="s">
        <v>234</v>
      </c>
      <c r="B66" s="86" t="s">
        <v>213</v>
      </c>
      <c r="C66" s="2" t="s">
        <v>234</v>
      </c>
    </row>
    <row r="67" spans="1:3" ht="12.75">
      <c r="A67" s="2" t="s">
        <v>235</v>
      </c>
      <c r="B67" s="86" t="s">
        <v>214</v>
      </c>
      <c r="C67" s="2" t="s">
        <v>235</v>
      </c>
    </row>
    <row r="68" spans="1:3" ht="12.75">
      <c r="A68" s="2" t="s">
        <v>236</v>
      </c>
      <c r="B68" s="86" t="s">
        <v>215</v>
      </c>
      <c r="C68" s="2" t="s">
        <v>236</v>
      </c>
    </row>
    <row r="69" spans="1:3" ht="12.75">
      <c r="A69" s="2" t="s">
        <v>237</v>
      </c>
      <c r="B69" s="86" t="s">
        <v>216</v>
      </c>
      <c r="C69" s="2" t="s">
        <v>237</v>
      </c>
    </row>
    <row r="70" spans="1:3" ht="12.75">
      <c r="A70" s="2" t="s">
        <v>238</v>
      </c>
      <c r="B70" s="86" t="s">
        <v>217</v>
      </c>
      <c r="C70" s="2" t="s">
        <v>238</v>
      </c>
    </row>
    <row r="71" spans="1:3" ht="12.75">
      <c r="A71" s="2" t="s">
        <v>239</v>
      </c>
      <c r="B71" s="86" t="s">
        <v>218</v>
      </c>
      <c r="C71" s="2" t="s">
        <v>239</v>
      </c>
    </row>
    <row r="72" spans="1:3" ht="12.75">
      <c r="A72" s="2" t="s">
        <v>240</v>
      </c>
      <c r="B72" s="87" t="s">
        <v>219</v>
      </c>
      <c r="C72" s="2" t="s">
        <v>240</v>
      </c>
    </row>
    <row r="73" spans="1:3" ht="12.75">
      <c r="A73" s="2" t="s">
        <v>241</v>
      </c>
      <c r="B73" s="87" t="s">
        <v>220</v>
      </c>
      <c r="C73" s="2" t="s">
        <v>241</v>
      </c>
    </row>
    <row r="74" spans="1:3" ht="12.75">
      <c r="A74" s="2" t="s">
        <v>242</v>
      </c>
      <c r="B74" s="87" t="s">
        <v>221</v>
      </c>
      <c r="C74" s="2" t="s">
        <v>242</v>
      </c>
    </row>
    <row r="75" spans="1:3" ht="12.75">
      <c r="A75" s="2" t="s">
        <v>243</v>
      </c>
      <c r="B75" s="87" t="s">
        <v>222</v>
      </c>
      <c r="C75" s="2" t="s">
        <v>243</v>
      </c>
    </row>
    <row r="76" spans="1:3" ht="12.75">
      <c r="A76" s="2" t="s">
        <v>244</v>
      </c>
      <c r="B76" s="87" t="s">
        <v>223</v>
      </c>
      <c r="C76" s="2" t="s">
        <v>244</v>
      </c>
    </row>
    <row r="79" spans="1:2" ht="12.75">
      <c r="A79" s="1" t="s">
        <v>97</v>
      </c>
      <c r="B79" s="1" t="s">
        <v>276</v>
      </c>
    </row>
    <row r="80" spans="1:2" ht="12.75">
      <c r="A80" s="1" t="s">
        <v>98</v>
      </c>
      <c r="B80" s="1" t="s">
        <v>278</v>
      </c>
    </row>
    <row r="81" spans="1:2" ht="12.75">
      <c r="A81" s="1" t="s">
        <v>99</v>
      </c>
      <c r="B81" s="1" t="s">
        <v>282</v>
      </c>
    </row>
    <row r="82" spans="1:2" ht="12.75">
      <c r="A82" s="1" t="s">
        <v>245</v>
      </c>
      <c r="B82" s="1" t="s">
        <v>285</v>
      </c>
    </row>
    <row r="86" spans="1:2" ht="12.75">
      <c r="A86" s="135" t="s">
        <v>191</v>
      </c>
      <c r="B86" t="s">
        <v>254</v>
      </c>
    </row>
    <row r="87" spans="1:2" ht="12.75">
      <c r="A87" s="135" t="s">
        <v>192</v>
      </c>
      <c r="B87" t="s">
        <v>255</v>
      </c>
    </row>
    <row r="88" spans="1:2" ht="12.75">
      <c r="A88" s="135" t="s">
        <v>193</v>
      </c>
      <c r="B88" t="s">
        <v>256</v>
      </c>
    </row>
    <row r="89" spans="1:2" ht="12.75">
      <c r="A89" s="135" t="s">
        <v>194</v>
      </c>
      <c r="B89" t="s">
        <v>258</v>
      </c>
    </row>
    <row r="90" spans="1:2" ht="12.75">
      <c r="A90" s="135" t="s">
        <v>195</v>
      </c>
      <c r="B90" t="s">
        <v>260</v>
      </c>
    </row>
    <row r="91" spans="1:2" ht="12.75">
      <c r="A91" s="135" t="s">
        <v>196</v>
      </c>
      <c r="B91" t="s">
        <v>261</v>
      </c>
    </row>
    <row r="92" spans="1:2" ht="12.75">
      <c r="A92" s="135" t="s">
        <v>197</v>
      </c>
      <c r="B92" t="s">
        <v>263</v>
      </c>
    </row>
    <row r="93" spans="1:2" ht="12.75">
      <c r="A93" s="135" t="s">
        <v>198</v>
      </c>
      <c r="B93" t="s">
        <v>265</v>
      </c>
    </row>
    <row r="94" spans="1:2" ht="12.75">
      <c r="A94" s="135" t="s">
        <v>199</v>
      </c>
      <c r="B94" t="s">
        <v>267</v>
      </c>
    </row>
    <row r="95" spans="1:2" ht="12.75">
      <c r="A95" s="135" t="s">
        <v>200</v>
      </c>
      <c r="B95" t="s">
        <v>269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"/>
  <sheetViews>
    <sheetView workbookViewId="0" topLeftCell="A1">
      <selection activeCell="K14" sqref="K14"/>
    </sheetView>
  </sheetViews>
  <sheetFormatPr defaultColWidth="9.140625" defaultRowHeight="12.75"/>
  <cols>
    <col min="2" max="2" width="5.421875" style="0" customWidth="1"/>
    <col min="3" max="25" width="4.7109375" style="0" customWidth="1"/>
  </cols>
  <sheetData>
    <row r="1" ht="15.75">
      <c r="A1" s="5" t="s">
        <v>37</v>
      </c>
    </row>
    <row r="3" spans="3:25" ht="12.75">
      <c r="C3" s="6" t="s">
        <v>71</v>
      </c>
      <c r="D3" s="7" t="s">
        <v>72</v>
      </c>
      <c r="E3" s="7" t="s">
        <v>73</v>
      </c>
      <c r="F3" s="7" t="s">
        <v>74</v>
      </c>
      <c r="G3" s="7" t="s">
        <v>75</v>
      </c>
      <c r="H3" s="7" t="s">
        <v>76</v>
      </c>
      <c r="I3" s="7" t="s">
        <v>77</v>
      </c>
      <c r="J3" s="7" t="s">
        <v>78</v>
      </c>
      <c r="K3" s="7" t="s">
        <v>79</v>
      </c>
      <c r="L3" s="7" t="s">
        <v>80</v>
      </c>
      <c r="M3" s="7" t="s">
        <v>81</v>
      </c>
      <c r="N3" s="7" t="s">
        <v>82</v>
      </c>
      <c r="O3" s="7" t="s">
        <v>83</v>
      </c>
      <c r="P3" s="7" t="s">
        <v>84</v>
      </c>
      <c r="Q3" s="7" t="s">
        <v>85</v>
      </c>
      <c r="R3" s="7" t="s">
        <v>86</v>
      </c>
      <c r="S3" s="7" t="s">
        <v>87</v>
      </c>
      <c r="T3" s="7" t="s">
        <v>88</v>
      </c>
      <c r="U3" s="7" t="s">
        <v>89</v>
      </c>
      <c r="V3" s="7" t="s">
        <v>90</v>
      </c>
      <c r="W3" s="7" t="s">
        <v>91</v>
      </c>
      <c r="X3" s="7" t="s">
        <v>92</v>
      </c>
      <c r="Y3" s="7" t="s">
        <v>93</v>
      </c>
    </row>
    <row r="4" spans="2:25" ht="12.75">
      <c r="B4" s="2" t="s">
        <v>156</v>
      </c>
      <c r="C4" s="8">
        <v>65.98870056497175</v>
      </c>
      <c r="D4" s="8">
        <v>50.9009009009009</v>
      </c>
      <c r="E4" s="8">
        <v>66.10360360360359</v>
      </c>
      <c r="F4" s="8">
        <v>49.774774774774784</v>
      </c>
      <c r="G4" s="8">
        <v>64.3018018018018</v>
      </c>
      <c r="H4" s="8">
        <v>70.04504504504504</v>
      </c>
      <c r="I4" s="8">
        <v>52.70270270270271</v>
      </c>
      <c r="J4" s="8">
        <v>64.52702702702703</v>
      </c>
      <c r="K4" s="8">
        <v>46.440677966101696</v>
      </c>
      <c r="L4" s="8">
        <v>68.01801801801801</v>
      </c>
      <c r="M4" s="8">
        <v>56.8361581920904</v>
      </c>
      <c r="N4" s="8">
        <v>61.26126126126126</v>
      </c>
      <c r="O4" s="8">
        <v>58.10810810810812</v>
      </c>
      <c r="P4" s="8">
        <v>47.97297297297297</v>
      </c>
      <c r="Q4" s="8">
        <v>69.36936936936938</v>
      </c>
      <c r="R4" s="8">
        <v>54.39189189189188</v>
      </c>
      <c r="S4" s="8">
        <v>68.58108108108108</v>
      </c>
      <c r="T4" s="8">
        <v>53.603603603603595</v>
      </c>
      <c r="U4" s="8">
        <v>54.166666666666664</v>
      </c>
      <c r="V4" s="8">
        <v>54.166666666666664</v>
      </c>
      <c r="W4" s="8">
        <v>66.21621621621621</v>
      </c>
      <c r="X4" s="8">
        <v>63.954802259887</v>
      </c>
      <c r="Y4" s="8">
        <v>59.096045197740104</v>
      </c>
    </row>
    <row r="5" spans="2:25" ht="12.75">
      <c r="B5" s="2" t="s">
        <v>101</v>
      </c>
      <c r="C5" s="8">
        <v>60.31746031746031</v>
      </c>
      <c r="D5" s="8">
        <v>39.68253968253969</v>
      </c>
      <c r="E5" s="8">
        <v>61.904761904761905</v>
      </c>
      <c r="F5" s="8">
        <v>39.68253968253969</v>
      </c>
      <c r="G5" s="8">
        <v>68.25396825396825</v>
      </c>
      <c r="H5" s="8">
        <v>71.42857142857143</v>
      </c>
      <c r="I5" s="8">
        <v>57.142857142857146</v>
      </c>
      <c r="J5" s="8">
        <v>63.49206349206349</v>
      </c>
      <c r="K5" s="8">
        <v>47.61904761904761</v>
      </c>
      <c r="L5" s="8">
        <v>73.01587301587303</v>
      </c>
      <c r="M5" s="8">
        <v>52.38095238095239</v>
      </c>
      <c r="N5" s="8">
        <v>60.31746031746031</v>
      </c>
      <c r="O5" s="8">
        <v>69.84126984126985</v>
      </c>
      <c r="P5" s="8">
        <v>39.68253968253969</v>
      </c>
      <c r="Q5" s="8">
        <v>73.01587301587303</v>
      </c>
      <c r="R5" s="8">
        <v>47.61904761904761</v>
      </c>
      <c r="S5" s="8">
        <v>65.07936507936508</v>
      </c>
      <c r="T5" s="8">
        <v>52.38095238095239</v>
      </c>
      <c r="U5" s="8">
        <v>52.38095238095239</v>
      </c>
      <c r="V5" s="8">
        <v>50.79365079365079</v>
      </c>
      <c r="W5" s="8">
        <v>68.25396825396825</v>
      </c>
      <c r="X5" s="8">
        <v>63.49206349206349</v>
      </c>
      <c r="Y5" s="8">
        <v>61.904761904761905</v>
      </c>
    </row>
    <row r="6" spans="2:25" ht="12.75">
      <c r="B6" s="2" t="s">
        <v>102</v>
      </c>
      <c r="C6" s="8">
        <v>63.59649122807017</v>
      </c>
      <c r="D6" s="8">
        <v>50.64935064935065</v>
      </c>
      <c r="E6" s="8">
        <v>61.03896103896103</v>
      </c>
      <c r="F6" s="8">
        <v>49.35064935064935</v>
      </c>
      <c r="G6" s="8">
        <v>61.47186147186147</v>
      </c>
      <c r="H6" s="8">
        <v>68.83116883116884</v>
      </c>
      <c r="I6" s="8">
        <v>52.813852813852805</v>
      </c>
      <c r="J6" s="8">
        <v>59.3073593073593</v>
      </c>
      <c r="K6" s="8">
        <v>48.91774891774892</v>
      </c>
      <c r="L6" s="8">
        <v>64.50216450216449</v>
      </c>
      <c r="M6" s="8">
        <v>54.97835497835498</v>
      </c>
      <c r="N6" s="8">
        <v>61.03896103896103</v>
      </c>
      <c r="O6" s="8">
        <v>54.97835497835498</v>
      </c>
      <c r="P6" s="8">
        <v>43.290043290043286</v>
      </c>
      <c r="Q6" s="8">
        <v>69.6969696969697</v>
      </c>
      <c r="R6" s="8">
        <v>52.38095238095239</v>
      </c>
      <c r="S6" s="8">
        <v>64.93506493506494</v>
      </c>
      <c r="T6" s="8">
        <v>49.78354978354978</v>
      </c>
      <c r="U6" s="8">
        <v>51.51515151515151</v>
      </c>
      <c r="V6" s="8">
        <v>47.186147186147195</v>
      </c>
      <c r="W6" s="8">
        <v>62.77056277056277</v>
      </c>
      <c r="X6" s="8">
        <v>60.606060606060616</v>
      </c>
      <c r="Y6" s="8">
        <v>58.7719298245614</v>
      </c>
    </row>
    <row r="7" spans="2:25" ht="12.75">
      <c r="B7" s="2" t="s">
        <v>103</v>
      </c>
      <c r="C7" s="8">
        <v>69.44444444444444</v>
      </c>
      <c r="D7" s="8">
        <v>43.51851851851851</v>
      </c>
      <c r="E7" s="8">
        <v>70.37037037037037</v>
      </c>
      <c r="F7" s="8">
        <v>51.85185185185185</v>
      </c>
      <c r="G7" s="8">
        <v>63.888888888888886</v>
      </c>
      <c r="H7" s="8">
        <v>75.92592592592592</v>
      </c>
      <c r="I7" s="8">
        <v>46.2962962962963</v>
      </c>
      <c r="J7" s="8">
        <v>69.44444444444444</v>
      </c>
      <c r="K7" s="8">
        <v>44.761904761904766</v>
      </c>
      <c r="L7" s="8">
        <v>68.51851851851852</v>
      </c>
      <c r="M7" s="8">
        <v>55.238095238095234</v>
      </c>
      <c r="N7" s="8">
        <v>58.333333333333336</v>
      </c>
      <c r="O7" s="8">
        <v>55.55555555555555</v>
      </c>
      <c r="P7" s="8">
        <v>45.370370370370374</v>
      </c>
      <c r="Q7" s="8">
        <v>69.44444444444444</v>
      </c>
      <c r="R7" s="8">
        <v>57.40740740740741</v>
      </c>
      <c r="S7" s="8">
        <v>66.66666666666667</v>
      </c>
      <c r="T7" s="8">
        <v>50</v>
      </c>
      <c r="U7" s="8">
        <v>58.333333333333336</v>
      </c>
      <c r="V7" s="8">
        <v>55.55555555555555</v>
      </c>
      <c r="W7" s="8">
        <v>64.81481481481482</v>
      </c>
      <c r="X7" s="8">
        <v>63.8095238095238</v>
      </c>
      <c r="Y7" s="8">
        <v>55.55555555555555</v>
      </c>
    </row>
    <row r="8" spans="2:25" ht="12.75">
      <c r="B8" s="2" t="s">
        <v>104</v>
      </c>
      <c r="C8" s="8">
        <v>62.5</v>
      </c>
      <c r="D8" s="8">
        <v>45.833333333333336</v>
      </c>
      <c r="E8" s="8">
        <v>62.5</v>
      </c>
      <c r="F8" s="8">
        <v>43.75</v>
      </c>
      <c r="G8" s="8">
        <v>54.166666666666664</v>
      </c>
      <c r="H8" s="8">
        <v>70.83333333333333</v>
      </c>
      <c r="I8" s="8">
        <v>60.416666666666664</v>
      </c>
      <c r="J8" s="8">
        <v>60.416666666666664</v>
      </c>
      <c r="K8" s="8">
        <v>37.5</v>
      </c>
      <c r="L8" s="8">
        <v>72.91666666666667</v>
      </c>
      <c r="M8" s="8">
        <v>45.833333333333336</v>
      </c>
      <c r="N8" s="8">
        <v>52.083333333333336</v>
      </c>
      <c r="O8" s="8">
        <v>52.083333333333336</v>
      </c>
      <c r="P8" s="8">
        <v>47.916666666666664</v>
      </c>
      <c r="Q8" s="8">
        <v>68.75</v>
      </c>
      <c r="R8" s="8">
        <v>50</v>
      </c>
      <c r="S8" s="8">
        <v>60.416666666666664</v>
      </c>
      <c r="T8" s="8">
        <v>52.083333333333336</v>
      </c>
      <c r="U8" s="8">
        <v>45.833333333333336</v>
      </c>
      <c r="V8" s="8">
        <v>54.166666666666664</v>
      </c>
      <c r="W8" s="8">
        <v>64.58333333333333</v>
      </c>
      <c r="X8" s="8">
        <v>68.75</v>
      </c>
      <c r="Y8" s="8">
        <v>68.75</v>
      </c>
    </row>
    <row r="9" spans="2:25" ht="12.75">
      <c r="B9" s="2" t="s">
        <v>105</v>
      </c>
      <c r="C9" s="8">
        <v>66.66666666666667</v>
      </c>
      <c r="D9" s="8">
        <v>56.12244897959184</v>
      </c>
      <c r="E9" s="8">
        <v>70.40816326530611</v>
      </c>
      <c r="F9" s="8">
        <v>50.68027210884353</v>
      </c>
      <c r="G9" s="8">
        <v>66.3265306122449</v>
      </c>
      <c r="H9" s="8">
        <v>70.06802721088435</v>
      </c>
      <c r="I9" s="8">
        <v>54.08163265306123</v>
      </c>
      <c r="J9" s="8">
        <v>66.66666666666667</v>
      </c>
      <c r="K9" s="8">
        <v>42.857142857142854</v>
      </c>
      <c r="L9" s="8">
        <v>68.36734693877551</v>
      </c>
      <c r="M9" s="8">
        <v>59.8639455782313</v>
      </c>
      <c r="N9" s="8">
        <v>63.60544217687075</v>
      </c>
      <c r="O9" s="8">
        <v>60.8843537414966</v>
      </c>
      <c r="P9" s="8">
        <v>50.34013605442177</v>
      </c>
      <c r="Q9" s="8">
        <v>69.72789115646258</v>
      </c>
      <c r="R9" s="8">
        <v>55.78231292517007</v>
      </c>
      <c r="S9" s="8">
        <v>72.78911564625851</v>
      </c>
      <c r="T9" s="8">
        <v>58.503401360544224</v>
      </c>
      <c r="U9" s="8">
        <v>55.78231292517007</v>
      </c>
      <c r="V9" s="8">
        <v>57.823129251700685</v>
      </c>
      <c r="W9" s="8">
        <v>68.02721088435375</v>
      </c>
      <c r="X9" s="8">
        <v>63.94557823129251</v>
      </c>
      <c r="Y9" s="8">
        <v>60.204081632653065</v>
      </c>
    </row>
    <row r="10" spans="2:25" ht="12.75">
      <c r="B10" s="2" t="s">
        <v>106</v>
      </c>
      <c r="C10" s="8">
        <v>69.44444444444444</v>
      </c>
      <c r="D10" s="8">
        <v>52.77777777777778</v>
      </c>
      <c r="E10" s="8">
        <v>65.27777777777779</v>
      </c>
      <c r="F10" s="8">
        <v>53.47222222222222</v>
      </c>
      <c r="G10" s="8">
        <v>66.66666666666667</v>
      </c>
      <c r="H10" s="8">
        <v>66.66666666666667</v>
      </c>
      <c r="I10" s="8">
        <v>50</v>
      </c>
      <c r="J10" s="8">
        <v>66.66666666666667</v>
      </c>
      <c r="K10" s="8">
        <v>53.47222222222222</v>
      </c>
      <c r="L10" s="8">
        <v>68.75</v>
      </c>
      <c r="M10" s="8">
        <v>60.416666666666664</v>
      </c>
      <c r="N10" s="8">
        <v>62.5</v>
      </c>
      <c r="O10" s="8">
        <v>56.25</v>
      </c>
      <c r="P10" s="8">
        <v>56.25</v>
      </c>
      <c r="Q10" s="8">
        <v>66.66666666666667</v>
      </c>
      <c r="R10" s="8">
        <v>56.94444444444445</v>
      </c>
      <c r="S10" s="8">
        <v>71.52777777777779</v>
      </c>
      <c r="T10" s="8">
        <v>53.47222222222222</v>
      </c>
      <c r="U10" s="8">
        <v>55.55555555555555</v>
      </c>
      <c r="V10" s="8">
        <v>58.333333333333336</v>
      </c>
      <c r="W10" s="8">
        <v>68.75</v>
      </c>
      <c r="X10" s="8">
        <v>68.05555555555556</v>
      </c>
      <c r="Y10" s="8">
        <v>55.55555555555555</v>
      </c>
    </row>
    <row r="11" spans="2:25" ht="12.75">
      <c r="B11" s="2" t="s">
        <v>157</v>
      </c>
      <c r="C11" s="8">
        <v>53.333333333333336</v>
      </c>
      <c r="D11" s="8">
        <v>40</v>
      </c>
      <c r="E11" s="8">
        <v>73.33333333333334</v>
      </c>
      <c r="F11" s="8">
        <v>73.33333333333334</v>
      </c>
      <c r="G11" s="8">
        <v>66.66666666666667</v>
      </c>
      <c r="H11" s="8">
        <v>73.33333333333334</v>
      </c>
      <c r="I11" s="8">
        <v>53.333333333333336</v>
      </c>
      <c r="J11" s="8">
        <v>66.66666666666667</v>
      </c>
      <c r="K11" s="8">
        <v>60</v>
      </c>
      <c r="L11" s="8">
        <v>66.66666666666667</v>
      </c>
      <c r="M11" s="8">
        <v>60</v>
      </c>
      <c r="N11" s="8">
        <v>66.66666666666667</v>
      </c>
      <c r="O11" s="8">
        <v>53.333333333333336</v>
      </c>
      <c r="P11" s="8">
        <v>33.333333333333336</v>
      </c>
      <c r="Q11" s="8">
        <v>66.66666666666667</v>
      </c>
      <c r="R11" s="8">
        <v>66.66666666666667</v>
      </c>
      <c r="S11" s="8">
        <v>66.66666666666667</v>
      </c>
      <c r="T11" s="8">
        <v>46.666666666666664</v>
      </c>
      <c r="U11" s="8">
        <v>53.333333333333336</v>
      </c>
      <c r="V11" s="8">
        <v>60</v>
      </c>
      <c r="W11" s="8">
        <v>66.66666666666667</v>
      </c>
      <c r="X11" s="8">
        <v>60</v>
      </c>
      <c r="Y11" s="8">
        <v>66.66666666666667</v>
      </c>
    </row>
    <row r="12" spans="2:25" ht="12.75">
      <c r="B12" s="2" t="s">
        <v>158</v>
      </c>
      <c r="C12" s="8">
        <v>64.05228758169933</v>
      </c>
      <c r="D12" s="8">
        <v>47.05882352941176</v>
      </c>
      <c r="E12" s="8">
        <v>64.70588235294117</v>
      </c>
      <c r="F12" s="8">
        <v>52.28758169934641</v>
      </c>
      <c r="G12" s="8">
        <v>66.01307189542484</v>
      </c>
      <c r="H12" s="8">
        <v>66.66666666666667</v>
      </c>
      <c r="I12" s="8">
        <v>50.326797385620914</v>
      </c>
      <c r="J12" s="8">
        <v>64.70588235294117</v>
      </c>
      <c r="K12" s="8">
        <v>47.71241830065359</v>
      </c>
      <c r="L12" s="8">
        <v>62.091503267973856</v>
      </c>
      <c r="M12" s="8">
        <v>54.248366013071895</v>
      </c>
      <c r="N12" s="8">
        <v>58.8235294117647</v>
      </c>
      <c r="O12" s="8">
        <v>54.90196078431372</v>
      </c>
      <c r="P12" s="8">
        <v>47.05882352941176</v>
      </c>
      <c r="Q12" s="8">
        <v>67.97385620915033</v>
      </c>
      <c r="R12" s="8">
        <v>53.59477124183007</v>
      </c>
      <c r="S12" s="8">
        <v>68.62745098039215</v>
      </c>
      <c r="T12" s="8">
        <v>52.28758169934641</v>
      </c>
      <c r="U12" s="8">
        <v>54.248366013071895</v>
      </c>
      <c r="V12" s="8">
        <v>56.20915032679738</v>
      </c>
      <c r="W12" s="8">
        <v>69.93464052287582</v>
      </c>
      <c r="X12" s="8">
        <v>62.745098039215684</v>
      </c>
      <c r="Y12" s="8">
        <v>54.90196078431372</v>
      </c>
    </row>
    <row r="13" spans="2:25" ht="12.75">
      <c r="B13" s="2" t="s">
        <v>159</v>
      </c>
      <c r="C13" s="8">
        <v>66.35802469135804</v>
      </c>
      <c r="D13" s="8">
        <v>51.23456790123458</v>
      </c>
      <c r="E13" s="8">
        <v>66.66666666666667</v>
      </c>
      <c r="F13" s="8">
        <v>49.382716049382715</v>
      </c>
      <c r="G13" s="8">
        <v>63.271604938271615</v>
      </c>
      <c r="H13" s="8">
        <v>70.37037037037037</v>
      </c>
      <c r="I13" s="8">
        <v>55.55555555555555</v>
      </c>
      <c r="J13" s="8">
        <v>65.74074074074075</v>
      </c>
      <c r="K13" s="8">
        <v>45.987654320987666</v>
      </c>
      <c r="L13" s="8">
        <v>70.06172839506172</v>
      </c>
      <c r="M13" s="8">
        <v>53.7037037037037</v>
      </c>
      <c r="N13" s="8">
        <v>61.41975308641975</v>
      </c>
      <c r="O13" s="8">
        <v>59.567901234567906</v>
      </c>
      <c r="P13" s="8">
        <v>47.22222222222222</v>
      </c>
      <c r="Q13" s="8">
        <v>69.75308641975309</v>
      </c>
      <c r="R13" s="8">
        <v>56.79012345679013</v>
      </c>
      <c r="S13" s="8">
        <v>68.51851851851852</v>
      </c>
      <c r="T13" s="8">
        <v>53.086419753086425</v>
      </c>
      <c r="U13" s="8">
        <v>54.629629629629626</v>
      </c>
      <c r="V13" s="8">
        <v>53.395061728395056</v>
      </c>
      <c r="W13" s="8">
        <v>65.43209876543209</v>
      </c>
      <c r="X13" s="8">
        <v>63.888888888888886</v>
      </c>
      <c r="Y13" s="8">
        <v>62.34567901234567</v>
      </c>
    </row>
    <row r="14" spans="2:25" ht="12.75">
      <c r="B14" s="2" t="s">
        <v>160</v>
      </c>
      <c r="C14" s="8">
        <v>66.66666666666667</v>
      </c>
      <c r="D14" s="8">
        <v>51.948051948051955</v>
      </c>
      <c r="E14" s="8">
        <v>67.96536796536796</v>
      </c>
      <c r="F14" s="8">
        <v>49.78354978354978</v>
      </c>
      <c r="G14" s="8">
        <v>64.06926406926408</v>
      </c>
      <c r="H14" s="8">
        <v>71.42857142857143</v>
      </c>
      <c r="I14" s="8">
        <v>51.51515151515151</v>
      </c>
      <c r="J14" s="8">
        <v>67.96536796536796</v>
      </c>
      <c r="K14" s="8">
        <v>46.491228070175445</v>
      </c>
      <c r="L14" s="8">
        <v>68.3982683982684</v>
      </c>
      <c r="M14" s="8">
        <v>63.15789473684211</v>
      </c>
      <c r="N14" s="8">
        <v>63.63636363636363</v>
      </c>
      <c r="O14" s="8">
        <v>56.709956709956714</v>
      </c>
      <c r="P14" s="8">
        <v>49.78354978354978</v>
      </c>
      <c r="Q14" s="8">
        <v>68.3982683982684</v>
      </c>
      <c r="R14" s="8">
        <v>49.78354978354978</v>
      </c>
      <c r="S14" s="8">
        <v>71.86147186147186</v>
      </c>
      <c r="T14" s="8">
        <v>55.844155844155836</v>
      </c>
      <c r="U14" s="8">
        <v>54.112554112554115</v>
      </c>
      <c r="V14" s="8">
        <v>56.27705627705627</v>
      </c>
      <c r="W14" s="8">
        <v>66.66666666666667</v>
      </c>
      <c r="X14" s="8">
        <v>64.47368421052632</v>
      </c>
      <c r="Y14" s="8">
        <v>56.709956709956714</v>
      </c>
    </row>
    <row r="15" spans="2:25" ht="12.75">
      <c r="B15" s="2" t="s">
        <v>161</v>
      </c>
      <c r="C15" s="8">
        <v>68.96551724137932</v>
      </c>
      <c r="D15" s="8">
        <v>58.62068965517242</v>
      </c>
      <c r="E15" s="8">
        <v>59.77011494252874</v>
      </c>
      <c r="F15" s="8">
        <v>43.67816091954023</v>
      </c>
      <c r="G15" s="8">
        <v>70.11494252873563</v>
      </c>
      <c r="H15" s="8">
        <v>72.41379310344827</v>
      </c>
      <c r="I15" s="8">
        <v>54.02298850574712</v>
      </c>
      <c r="J15" s="8">
        <v>59.77011494252874</v>
      </c>
      <c r="K15" s="8">
        <v>40.229885057471265</v>
      </c>
      <c r="L15" s="8">
        <v>73.5632183908046</v>
      </c>
      <c r="M15" s="8">
        <v>56.32183908045977</v>
      </c>
      <c r="N15" s="8">
        <v>59.77011494252874</v>
      </c>
      <c r="O15" s="8">
        <v>56.32183908045977</v>
      </c>
      <c r="P15" s="8">
        <v>48.275862068965516</v>
      </c>
      <c r="Q15" s="8">
        <v>75.86206896551725</v>
      </c>
      <c r="R15" s="8">
        <v>54.02298850574712</v>
      </c>
      <c r="S15" s="8">
        <v>64.36781609195403</v>
      </c>
      <c r="T15" s="8">
        <v>57.47126436781608</v>
      </c>
      <c r="U15" s="8">
        <v>56.32183908045977</v>
      </c>
      <c r="V15" s="8">
        <v>55.17241379310346</v>
      </c>
      <c r="W15" s="8">
        <v>65.51724137931035</v>
      </c>
      <c r="X15" s="8">
        <v>66.66666666666667</v>
      </c>
      <c r="Y15" s="8">
        <v>66.66666666666667</v>
      </c>
    </row>
    <row r="16" spans="2:25" ht="12.75">
      <c r="B16" s="2" t="s">
        <v>94</v>
      </c>
      <c r="C16" s="8">
        <v>66.46586345381526</v>
      </c>
      <c r="D16" s="8">
        <v>52.495009980039924</v>
      </c>
      <c r="E16" s="8">
        <v>65.86826347305389</v>
      </c>
      <c r="F16" s="8">
        <v>49.9001996007984</v>
      </c>
      <c r="G16" s="8">
        <v>66.66666666666667</v>
      </c>
      <c r="H16" s="8">
        <v>70.05988023952095</v>
      </c>
      <c r="I16" s="8">
        <v>54.69061876247505</v>
      </c>
      <c r="J16" s="8">
        <v>65.66866267465069</v>
      </c>
      <c r="K16" s="8">
        <v>49.101796407185624</v>
      </c>
      <c r="L16" s="8">
        <v>69.86027944111775</v>
      </c>
      <c r="M16" s="8">
        <v>57.68463073852296</v>
      </c>
      <c r="N16" s="8">
        <v>61.676646706586816</v>
      </c>
      <c r="O16" s="8">
        <v>58.483033932135726</v>
      </c>
      <c r="P16" s="8">
        <v>47.504990019960076</v>
      </c>
      <c r="Q16" s="8">
        <v>72.0558882235529</v>
      </c>
      <c r="R16" s="8">
        <v>51.69660678642714</v>
      </c>
      <c r="S16" s="8">
        <v>68.6626746506986</v>
      </c>
      <c r="T16" s="8">
        <v>53.89221556886228</v>
      </c>
      <c r="U16" s="8">
        <v>53.89221556886228</v>
      </c>
      <c r="V16" s="8">
        <v>53.89221556886228</v>
      </c>
      <c r="W16" s="8">
        <v>67.86427145708583</v>
      </c>
      <c r="X16" s="8">
        <v>65.66866267465069</v>
      </c>
      <c r="Y16" s="8">
        <v>58.88223552894211</v>
      </c>
    </row>
    <row r="17" spans="2:25" ht="12.75">
      <c r="B17" s="2" t="s">
        <v>95</v>
      </c>
      <c r="C17" s="8">
        <v>65.37216828478965</v>
      </c>
      <c r="D17" s="8">
        <v>49.190938511326856</v>
      </c>
      <c r="E17" s="8">
        <v>66.34304207119742</v>
      </c>
      <c r="F17" s="8">
        <v>49.838187702265365</v>
      </c>
      <c r="G17" s="8">
        <v>61.81229773462783</v>
      </c>
      <c r="H17" s="8">
        <v>70.55016181229773</v>
      </c>
      <c r="I17" s="8">
        <v>50.809061488673144</v>
      </c>
      <c r="J17" s="8">
        <v>65.37216828478965</v>
      </c>
      <c r="K17" s="8">
        <v>41.1764705882353</v>
      </c>
      <c r="L17" s="8">
        <v>66.01941747572816</v>
      </c>
      <c r="M17" s="8">
        <v>55.55555555555555</v>
      </c>
      <c r="N17" s="8">
        <v>61.16504854368932</v>
      </c>
      <c r="O17" s="8">
        <v>55.66343042071198</v>
      </c>
      <c r="P17" s="8">
        <v>48.22006472491909</v>
      </c>
      <c r="Q17" s="8">
        <v>65.6957928802589</v>
      </c>
      <c r="R17" s="8">
        <v>57.92880258899677</v>
      </c>
      <c r="S17" s="8">
        <v>69.57928802588997</v>
      </c>
      <c r="T17" s="8">
        <v>54.36893203883496</v>
      </c>
      <c r="U17" s="8">
        <v>55.66343042071198</v>
      </c>
      <c r="V17" s="8">
        <v>56.957928802589</v>
      </c>
      <c r="W17" s="8">
        <v>64.72491909385114</v>
      </c>
      <c r="X17" s="8">
        <v>61.43790849673203</v>
      </c>
      <c r="Y17" s="8">
        <v>61.48867313915858</v>
      </c>
    </row>
  </sheetData>
  <printOptions/>
  <pageMargins left="0.75" right="0.75" top="1" bottom="1" header="0.5" footer="0.5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"/>
  <sheetViews>
    <sheetView workbookViewId="0" topLeftCell="A1">
      <selection activeCell="G11" sqref="G11"/>
    </sheetView>
  </sheetViews>
  <sheetFormatPr defaultColWidth="9.140625" defaultRowHeight="12.75"/>
  <cols>
    <col min="2" max="2" width="5.421875" style="0" customWidth="1"/>
    <col min="3" max="25" width="4.7109375" style="0" customWidth="1"/>
  </cols>
  <sheetData>
    <row r="1" ht="15.75">
      <c r="A1" s="5" t="s">
        <v>155</v>
      </c>
    </row>
    <row r="3" spans="3:25" ht="12.75">
      <c r="C3" s="6" t="s">
        <v>71</v>
      </c>
      <c r="D3" s="7" t="s">
        <v>72</v>
      </c>
      <c r="E3" s="7" t="s">
        <v>73</v>
      </c>
      <c r="F3" s="7" t="s">
        <v>74</v>
      </c>
      <c r="G3" s="7" t="s">
        <v>75</v>
      </c>
      <c r="H3" s="7" t="s">
        <v>76</v>
      </c>
      <c r="I3" s="7" t="s">
        <v>77</v>
      </c>
      <c r="J3" s="7" t="s">
        <v>78</v>
      </c>
      <c r="K3" s="7" t="s">
        <v>79</v>
      </c>
      <c r="L3" s="7" t="s">
        <v>80</v>
      </c>
      <c r="M3" s="7" t="s">
        <v>81</v>
      </c>
      <c r="N3" s="7" t="s">
        <v>82</v>
      </c>
      <c r="O3" s="7" t="s">
        <v>83</v>
      </c>
      <c r="P3" s="7" t="s">
        <v>84</v>
      </c>
      <c r="Q3" s="7" t="s">
        <v>85</v>
      </c>
      <c r="R3" s="7" t="s">
        <v>86</v>
      </c>
      <c r="S3" s="7" t="s">
        <v>87</v>
      </c>
      <c r="T3" s="7" t="s">
        <v>88</v>
      </c>
      <c r="U3" s="7" t="s">
        <v>89</v>
      </c>
      <c r="V3" s="7" t="s">
        <v>90</v>
      </c>
      <c r="W3" s="7" t="s">
        <v>91</v>
      </c>
      <c r="X3" s="7" t="s">
        <v>92</v>
      </c>
      <c r="Y3" s="7" t="s">
        <v>93</v>
      </c>
    </row>
    <row r="4" spans="2:25" ht="12.75">
      <c r="B4" s="2" t="s">
        <v>156</v>
      </c>
      <c r="C4" s="8">
        <v>97.83393501805054</v>
      </c>
      <c r="D4" s="8">
        <v>80.14440433212997</v>
      </c>
      <c r="E4" s="8">
        <v>89.16967509025271</v>
      </c>
      <c r="F4" s="8">
        <v>72.56317689530685</v>
      </c>
      <c r="G4" s="8">
        <v>83.75451263537906</v>
      </c>
      <c r="H4" s="8">
        <v>93.50180505415162</v>
      </c>
      <c r="I4" s="8">
        <v>74.0072202166065</v>
      </c>
      <c r="J4" s="8">
        <v>88.8086642599278</v>
      </c>
      <c r="K4" s="8">
        <v>49.81949458483754</v>
      </c>
      <c r="L4" s="8">
        <v>89.16967509025271</v>
      </c>
      <c r="M4" s="8">
        <v>80.14440433212997</v>
      </c>
      <c r="N4" s="8">
        <v>86.28158844765343</v>
      </c>
      <c r="O4" s="8">
        <v>75.45126353790614</v>
      </c>
      <c r="P4" s="8">
        <v>62.81588447653429</v>
      </c>
      <c r="Q4" s="8">
        <v>93.14079422382672</v>
      </c>
      <c r="R4" s="8">
        <v>73.28519855595668</v>
      </c>
      <c r="S4" s="8">
        <v>90.61371841155234</v>
      </c>
      <c r="T4" s="8">
        <v>75.45126353790614</v>
      </c>
      <c r="U4" s="8">
        <v>77.9783393501805</v>
      </c>
      <c r="V4" s="8">
        <v>71.84115523465704</v>
      </c>
      <c r="W4" s="8">
        <v>97.11191335740072</v>
      </c>
      <c r="X4" s="8">
        <v>93.50180505415162</v>
      </c>
      <c r="Y4" s="8">
        <v>76.17328519855596</v>
      </c>
    </row>
    <row r="5" spans="2:25" ht="12.75">
      <c r="B5" s="2" t="s">
        <v>101</v>
      </c>
      <c r="C5" s="8">
        <v>100</v>
      </c>
      <c r="D5" s="8">
        <v>65</v>
      </c>
      <c r="E5" s="8">
        <v>85</v>
      </c>
      <c r="F5" s="8">
        <v>75</v>
      </c>
      <c r="G5" s="8">
        <v>95</v>
      </c>
      <c r="H5" s="8">
        <v>100</v>
      </c>
      <c r="I5" s="8">
        <v>90</v>
      </c>
      <c r="J5" s="8">
        <v>95</v>
      </c>
      <c r="K5" s="8">
        <v>60</v>
      </c>
      <c r="L5" s="8">
        <v>100</v>
      </c>
      <c r="M5" s="8">
        <v>75</v>
      </c>
      <c r="N5" s="8">
        <v>80</v>
      </c>
      <c r="O5" s="8">
        <v>95</v>
      </c>
      <c r="P5" s="8">
        <v>40</v>
      </c>
      <c r="Q5" s="8">
        <v>90</v>
      </c>
      <c r="R5" s="8">
        <v>55</v>
      </c>
      <c r="S5" s="8">
        <v>100</v>
      </c>
      <c r="T5" s="8">
        <v>80</v>
      </c>
      <c r="U5" s="8">
        <v>85</v>
      </c>
      <c r="V5" s="8">
        <v>70</v>
      </c>
      <c r="W5" s="8">
        <v>95</v>
      </c>
      <c r="X5" s="8">
        <v>100</v>
      </c>
      <c r="Y5" s="8">
        <v>75</v>
      </c>
    </row>
    <row r="6" spans="2:25" ht="12.75">
      <c r="B6" s="2" t="s">
        <v>102</v>
      </c>
      <c r="C6" s="8">
        <v>98.27586206896552</v>
      </c>
      <c r="D6" s="8">
        <v>82.75862068965517</v>
      </c>
      <c r="E6" s="8">
        <v>91.37931034482759</v>
      </c>
      <c r="F6" s="8">
        <v>79.3103448275862</v>
      </c>
      <c r="G6" s="8">
        <v>89.65517241379311</v>
      </c>
      <c r="H6" s="8">
        <v>98.27586206896552</v>
      </c>
      <c r="I6" s="8">
        <v>77.58620689655173</v>
      </c>
      <c r="J6" s="8">
        <v>86.20689655172414</v>
      </c>
      <c r="K6" s="8">
        <v>62.06896551724138</v>
      </c>
      <c r="L6" s="8">
        <v>89.65517241379311</v>
      </c>
      <c r="M6" s="8">
        <v>91.37931034482759</v>
      </c>
      <c r="N6" s="8">
        <v>89.65517241379311</v>
      </c>
      <c r="O6" s="8">
        <v>72.41379310344827</v>
      </c>
      <c r="P6" s="8">
        <v>75.86206896551724</v>
      </c>
      <c r="Q6" s="8">
        <v>91.37931034482759</v>
      </c>
      <c r="R6" s="8">
        <v>68.96551724137932</v>
      </c>
      <c r="S6" s="8">
        <v>89.65517241379311</v>
      </c>
      <c r="T6" s="8">
        <v>77.58620689655173</v>
      </c>
      <c r="U6" s="8">
        <v>81.03448275862068</v>
      </c>
      <c r="V6" s="8">
        <v>74.13793103448276</v>
      </c>
      <c r="W6" s="8">
        <v>100</v>
      </c>
      <c r="X6" s="8">
        <v>91.37931034482759</v>
      </c>
      <c r="Y6" s="8">
        <v>82.75862068965517</v>
      </c>
    </row>
    <row r="7" spans="2:25" ht="12.75">
      <c r="B7" s="2" t="s">
        <v>103</v>
      </c>
      <c r="C7" s="8">
        <v>100</v>
      </c>
      <c r="D7" s="8">
        <v>71.42857142857143</v>
      </c>
      <c r="E7" s="8">
        <v>94.28571428571429</v>
      </c>
      <c r="F7" s="8">
        <v>74.28571428571429</v>
      </c>
      <c r="G7" s="8">
        <v>77.14285714285714</v>
      </c>
      <c r="H7" s="8">
        <v>97.14285714285714</v>
      </c>
      <c r="I7" s="8">
        <v>62.857142857142854</v>
      </c>
      <c r="J7" s="8">
        <v>85.71428571428571</v>
      </c>
      <c r="K7" s="8">
        <v>45.714285714285715</v>
      </c>
      <c r="L7" s="8">
        <v>88.57142857142857</v>
      </c>
      <c r="M7" s="8">
        <v>85.71428571428571</v>
      </c>
      <c r="N7" s="8">
        <v>88.57142857142857</v>
      </c>
      <c r="O7" s="8">
        <v>85.71428571428571</v>
      </c>
      <c r="P7" s="8">
        <v>65.71428571428571</v>
      </c>
      <c r="Q7" s="8">
        <v>91.42857142857143</v>
      </c>
      <c r="R7" s="8">
        <v>68.57142857142857</v>
      </c>
      <c r="S7" s="8">
        <v>91.42857142857143</v>
      </c>
      <c r="T7" s="8">
        <v>77.14285714285714</v>
      </c>
      <c r="U7" s="8">
        <v>71.42857142857143</v>
      </c>
      <c r="V7" s="8">
        <v>80</v>
      </c>
      <c r="W7" s="8">
        <v>100</v>
      </c>
      <c r="X7" s="8">
        <v>94.28571428571429</v>
      </c>
      <c r="Y7" s="8">
        <v>77.14285714285714</v>
      </c>
    </row>
    <row r="8" spans="2:25" ht="12.75">
      <c r="B8" s="2" t="s">
        <v>104</v>
      </c>
      <c r="C8" s="8">
        <v>93.75</v>
      </c>
      <c r="D8" s="8">
        <v>75</v>
      </c>
      <c r="E8" s="8">
        <v>87.5</v>
      </c>
      <c r="F8" s="8">
        <v>75</v>
      </c>
      <c r="G8" s="8">
        <v>68.75</v>
      </c>
      <c r="H8" s="8">
        <v>87.5</v>
      </c>
      <c r="I8" s="8">
        <v>100</v>
      </c>
      <c r="J8" s="8">
        <v>87.5</v>
      </c>
      <c r="K8" s="8">
        <v>25</v>
      </c>
      <c r="L8" s="8">
        <v>93.75</v>
      </c>
      <c r="M8" s="8">
        <v>68.75</v>
      </c>
      <c r="N8" s="8">
        <v>87.5</v>
      </c>
      <c r="O8" s="8">
        <v>62.5</v>
      </c>
      <c r="P8" s="8">
        <v>37.5</v>
      </c>
      <c r="Q8" s="8">
        <v>93.75</v>
      </c>
      <c r="R8" s="8">
        <v>68.75</v>
      </c>
      <c r="S8" s="8">
        <v>87.5</v>
      </c>
      <c r="T8" s="8">
        <v>68.75</v>
      </c>
      <c r="U8" s="8">
        <v>62.5</v>
      </c>
      <c r="V8" s="8">
        <v>68.75</v>
      </c>
      <c r="W8" s="8">
        <v>100</v>
      </c>
      <c r="X8" s="8">
        <v>87.5</v>
      </c>
      <c r="Y8" s="8">
        <v>100</v>
      </c>
    </row>
    <row r="9" spans="2:25" ht="12.75">
      <c r="B9" s="2" t="s">
        <v>105</v>
      </c>
      <c r="C9" s="8">
        <v>97</v>
      </c>
      <c r="D9" s="8">
        <v>82</v>
      </c>
      <c r="E9" s="8">
        <v>85</v>
      </c>
      <c r="F9" s="8">
        <v>63</v>
      </c>
      <c r="G9" s="8">
        <v>77</v>
      </c>
      <c r="H9" s="8">
        <v>89</v>
      </c>
      <c r="I9" s="8">
        <v>69</v>
      </c>
      <c r="J9" s="8">
        <v>89</v>
      </c>
      <c r="K9" s="8">
        <v>41</v>
      </c>
      <c r="L9" s="8">
        <v>81</v>
      </c>
      <c r="M9" s="8">
        <v>72</v>
      </c>
      <c r="N9" s="8">
        <v>82</v>
      </c>
      <c r="O9" s="8">
        <v>68</v>
      </c>
      <c r="P9" s="8">
        <v>58</v>
      </c>
      <c r="Q9" s="8">
        <v>93</v>
      </c>
      <c r="R9" s="8">
        <v>76</v>
      </c>
      <c r="S9" s="8">
        <v>86</v>
      </c>
      <c r="T9" s="8">
        <v>73</v>
      </c>
      <c r="U9" s="8">
        <v>78</v>
      </c>
      <c r="V9" s="8">
        <v>64</v>
      </c>
      <c r="W9" s="8">
        <v>94</v>
      </c>
      <c r="X9" s="8">
        <v>92</v>
      </c>
      <c r="Y9" s="8">
        <v>71</v>
      </c>
    </row>
    <row r="10" spans="2:25" ht="12.75">
      <c r="B10" s="2" t="s">
        <v>106</v>
      </c>
      <c r="C10" s="8">
        <v>97.91666666666667</v>
      </c>
      <c r="D10" s="8">
        <v>87.5</v>
      </c>
      <c r="E10" s="8">
        <v>93.75</v>
      </c>
      <c r="F10" s="8">
        <v>81.25</v>
      </c>
      <c r="G10" s="8">
        <v>95.83333333333333</v>
      </c>
      <c r="H10" s="8">
        <v>93.75</v>
      </c>
      <c r="I10" s="8">
        <v>72.91666666666667</v>
      </c>
      <c r="J10" s="8">
        <v>91.66666666666667</v>
      </c>
      <c r="K10" s="8">
        <v>60.416666666666664</v>
      </c>
      <c r="L10" s="8">
        <v>100</v>
      </c>
      <c r="M10" s="8">
        <v>85.41666666666667</v>
      </c>
      <c r="N10" s="8">
        <v>91.66666666666667</v>
      </c>
      <c r="O10" s="8">
        <v>83.33333333333333</v>
      </c>
      <c r="P10" s="8">
        <v>72.91666666666667</v>
      </c>
      <c r="Q10" s="8">
        <v>97.91666666666667</v>
      </c>
      <c r="R10" s="8">
        <v>85.41666666666667</v>
      </c>
      <c r="S10" s="8">
        <v>97.91666666666667</v>
      </c>
      <c r="T10" s="8">
        <v>77.08333333333333</v>
      </c>
      <c r="U10" s="8">
        <v>81.25</v>
      </c>
      <c r="V10" s="8">
        <v>81.25</v>
      </c>
      <c r="W10" s="8">
        <v>97.91666666666667</v>
      </c>
      <c r="X10" s="8">
        <v>97.91666666666667</v>
      </c>
      <c r="Y10" s="8">
        <v>70.83333333333333</v>
      </c>
    </row>
    <row r="11" spans="2:25" ht="12.75">
      <c r="B11" s="2" t="s">
        <v>157</v>
      </c>
      <c r="C11" s="8">
        <v>100</v>
      </c>
      <c r="D11" s="8">
        <v>60</v>
      </c>
      <c r="E11" s="8">
        <v>80</v>
      </c>
      <c r="F11" s="8">
        <v>40</v>
      </c>
      <c r="G11" s="8">
        <v>80</v>
      </c>
      <c r="H11" s="8">
        <v>100</v>
      </c>
      <c r="I11" s="8">
        <v>40</v>
      </c>
      <c r="J11" s="8">
        <v>100</v>
      </c>
      <c r="K11" s="8">
        <v>40</v>
      </c>
      <c r="L11" s="8">
        <v>100</v>
      </c>
      <c r="M11" s="8">
        <v>80</v>
      </c>
      <c r="N11" s="8">
        <v>60</v>
      </c>
      <c r="O11" s="8">
        <v>80</v>
      </c>
      <c r="P11" s="8">
        <v>80</v>
      </c>
      <c r="Q11" s="8">
        <v>80</v>
      </c>
      <c r="R11" s="8">
        <v>80</v>
      </c>
      <c r="S11" s="8">
        <v>80</v>
      </c>
      <c r="T11" s="8">
        <v>40</v>
      </c>
      <c r="U11" s="8">
        <v>100</v>
      </c>
      <c r="V11" s="8">
        <v>80</v>
      </c>
      <c r="W11" s="8">
        <v>80</v>
      </c>
      <c r="X11" s="8">
        <v>100</v>
      </c>
      <c r="Y11" s="8">
        <v>40</v>
      </c>
    </row>
    <row r="12" spans="2:25" ht="12.75">
      <c r="B12" s="2" t="s">
        <v>158</v>
      </c>
      <c r="C12" s="8">
        <v>94.11764705882354</v>
      </c>
      <c r="D12" s="8">
        <v>74.50980392156863</v>
      </c>
      <c r="E12" s="8">
        <v>92.15686274509804</v>
      </c>
      <c r="F12" s="8">
        <v>86.27450980392157</v>
      </c>
      <c r="G12" s="8">
        <v>88.23529411764706</v>
      </c>
      <c r="H12" s="8">
        <v>94.11764705882354</v>
      </c>
      <c r="I12" s="8">
        <v>82.3529411764706</v>
      </c>
      <c r="J12" s="8">
        <v>92.15686274509804</v>
      </c>
      <c r="K12" s="8">
        <v>47.05882352941177</v>
      </c>
      <c r="L12" s="8">
        <v>90.19607843137256</v>
      </c>
      <c r="M12" s="8">
        <v>82.3529411764706</v>
      </c>
      <c r="N12" s="8">
        <v>88.23529411764706</v>
      </c>
      <c r="O12" s="8">
        <v>78.43137254901961</v>
      </c>
      <c r="P12" s="8">
        <v>66.66666666666667</v>
      </c>
      <c r="Q12" s="8">
        <v>92.15686274509804</v>
      </c>
      <c r="R12" s="8">
        <v>80.3921568627451</v>
      </c>
      <c r="S12" s="8">
        <v>86.27450980392157</v>
      </c>
      <c r="T12" s="8">
        <v>72.54901960784314</v>
      </c>
      <c r="U12" s="8">
        <v>74.50980392156863</v>
      </c>
      <c r="V12" s="8">
        <v>76.47058823529412</v>
      </c>
      <c r="W12" s="8">
        <v>96.07843137254902</v>
      </c>
      <c r="X12" s="8">
        <v>92.15686274509804</v>
      </c>
      <c r="Y12" s="8">
        <v>78.43137254901961</v>
      </c>
    </row>
    <row r="13" spans="2:25" ht="12.75">
      <c r="B13" s="2" t="s">
        <v>159</v>
      </c>
      <c r="C13" s="8">
        <v>99.09909909909909</v>
      </c>
      <c r="D13" s="8">
        <v>82.88288288288288</v>
      </c>
      <c r="E13" s="8">
        <v>95.49549549549549</v>
      </c>
      <c r="F13" s="8">
        <v>72.07207207207207</v>
      </c>
      <c r="G13" s="8">
        <v>81.08108108108108</v>
      </c>
      <c r="H13" s="8">
        <v>95.49549549549549</v>
      </c>
      <c r="I13" s="8">
        <v>75.67567567567568</v>
      </c>
      <c r="J13" s="8">
        <v>89.1891891891892</v>
      </c>
      <c r="K13" s="8">
        <v>50.450450450450454</v>
      </c>
      <c r="L13" s="8">
        <v>94.5945945945946</v>
      </c>
      <c r="M13" s="8">
        <v>87.38738738738739</v>
      </c>
      <c r="N13" s="8">
        <v>89.1891891891892</v>
      </c>
      <c r="O13" s="8">
        <v>81.08108108108108</v>
      </c>
      <c r="P13" s="8">
        <v>66.66666666666667</v>
      </c>
      <c r="Q13" s="8">
        <v>93.69369369369369</v>
      </c>
      <c r="R13" s="8">
        <v>75.67567567567568</v>
      </c>
      <c r="S13" s="8">
        <v>93.69369369369369</v>
      </c>
      <c r="T13" s="8">
        <v>74.77477477477477</v>
      </c>
      <c r="U13" s="8">
        <v>77.47747747747748</v>
      </c>
      <c r="V13" s="8">
        <v>76.57657657657657</v>
      </c>
      <c r="W13" s="8">
        <v>99.09909909909909</v>
      </c>
      <c r="X13" s="8">
        <v>95.49549549549549</v>
      </c>
      <c r="Y13" s="8">
        <v>81.08108108108108</v>
      </c>
    </row>
    <row r="14" spans="2:25" ht="12.75">
      <c r="B14" s="2" t="s">
        <v>160</v>
      </c>
      <c r="C14" s="8">
        <v>97.5</v>
      </c>
      <c r="D14" s="8">
        <v>78.75</v>
      </c>
      <c r="E14" s="8">
        <v>86.25</v>
      </c>
      <c r="F14" s="8">
        <v>67.5</v>
      </c>
      <c r="G14" s="8">
        <v>83.75</v>
      </c>
      <c r="H14" s="8">
        <v>92.5</v>
      </c>
      <c r="I14" s="8">
        <v>72.5</v>
      </c>
      <c r="J14" s="8">
        <v>90</v>
      </c>
      <c r="K14" s="8">
        <v>47.5</v>
      </c>
      <c r="L14" s="8">
        <v>82.5</v>
      </c>
      <c r="M14" s="8">
        <v>72.5</v>
      </c>
      <c r="N14" s="8">
        <v>85</v>
      </c>
      <c r="O14" s="8">
        <v>67.5</v>
      </c>
      <c r="P14" s="8">
        <v>61.25</v>
      </c>
      <c r="Q14" s="8">
        <v>96.25</v>
      </c>
      <c r="R14" s="8">
        <v>62.5</v>
      </c>
      <c r="S14" s="8">
        <v>95</v>
      </c>
      <c r="T14" s="8">
        <v>80</v>
      </c>
      <c r="U14" s="8">
        <v>81.25</v>
      </c>
      <c r="V14" s="8">
        <v>66.25</v>
      </c>
      <c r="W14" s="8">
        <v>100</v>
      </c>
      <c r="X14" s="8">
        <v>91.25</v>
      </c>
      <c r="Y14" s="8">
        <v>71.25</v>
      </c>
    </row>
    <row r="15" spans="2:25" ht="12.75">
      <c r="B15" s="2" t="s">
        <v>161</v>
      </c>
      <c r="C15" s="8">
        <v>100</v>
      </c>
      <c r="D15" s="8">
        <v>86.66666666666667</v>
      </c>
      <c r="E15" s="8">
        <v>70</v>
      </c>
      <c r="F15" s="8">
        <v>70</v>
      </c>
      <c r="G15" s="8">
        <v>86.66666666666667</v>
      </c>
      <c r="H15" s="8">
        <v>86.66666666666667</v>
      </c>
      <c r="I15" s="8">
        <v>63.333333333333336</v>
      </c>
      <c r="J15" s="8">
        <v>76.66666666666667</v>
      </c>
      <c r="K15" s="8">
        <v>60</v>
      </c>
      <c r="L15" s="8">
        <v>83.33333333333333</v>
      </c>
      <c r="M15" s="8">
        <v>70</v>
      </c>
      <c r="N15" s="8">
        <v>80</v>
      </c>
      <c r="O15" s="8">
        <v>70</v>
      </c>
      <c r="P15" s="8">
        <v>43.333333333333336</v>
      </c>
      <c r="Q15" s="8">
        <v>86.66666666666667</v>
      </c>
      <c r="R15" s="8">
        <v>80</v>
      </c>
      <c r="S15" s="8">
        <v>76.66666666666667</v>
      </c>
      <c r="T15" s="8">
        <v>76.66666666666667</v>
      </c>
      <c r="U15" s="8">
        <v>73.33333333333333</v>
      </c>
      <c r="V15" s="8">
        <v>60</v>
      </c>
      <c r="W15" s="8">
        <v>86.66666666666667</v>
      </c>
      <c r="X15" s="8">
        <v>93.33333333333333</v>
      </c>
      <c r="Y15" s="8">
        <v>73.33333333333333</v>
      </c>
    </row>
    <row r="16" spans="2:25" ht="12.75">
      <c r="B16" s="2" t="s">
        <v>94</v>
      </c>
      <c r="C16" s="8">
        <v>98.83040935672514</v>
      </c>
      <c r="D16" s="8">
        <v>84.21052631578948</v>
      </c>
      <c r="E16" s="8">
        <v>88.88888888888889</v>
      </c>
      <c r="F16" s="8">
        <v>76.0233918128655</v>
      </c>
      <c r="G16" s="8">
        <v>88.30409356725146</v>
      </c>
      <c r="H16" s="8">
        <v>95.32163742690058</v>
      </c>
      <c r="I16" s="8">
        <v>75.43859649122807</v>
      </c>
      <c r="J16" s="8">
        <v>90.64327485380117</v>
      </c>
      <c r="K16" s="8">
        <v>59.06432748538012</v>
      </c>
      <c r="L16" s="8">
        <v>90.64327485380117</v>
      </c>
      <c r="M16" s="8">
        <v>81.28654970760233</v>
      </c>
      <c r="N16" s="8">
        <v>85.38011695906432</v>
      </c>
      <c r="O16" s="8">
        <v>77.77777777777777</v>
      </c>
      <c r="P16" s="8">
        <v>64.32748538011695</v>
      </c>
      <c r="Q16" s="8">
        <v>94.15204678362574</v>
      </c>
      <c r="R16" s="8">
        <v>70.17543859649123</v>
      </c>
      <c r="S16" s="8">
        <v>90.05847953216374</v>
      </c>
      <c r="T16" s="8">
        <v>78.3625730994152</v>
      </c>
      <c r="U16" s="8">
        <v>80.70175438596492</v>
      </c>
      <c r="V16" s="8">
        <v>72.51461988304094</v>
      </c>
      <c r="W16" s="8">
        <v>97.07602339181287</v>
      </c>
      <c r="X16" s="8">
        <v>95.90643274853801</v>
      </c>
      <c r="Y16" s="8">
        <v>75.43859649122807</v>
      </c>
    </row>
    <row r="17" spans="2:25" ht="12.75">
      <c r="B17" s="2" t="s">
        <v>95</v>
      </c>
      <c r="C17" s="8">
        <v>96.22641509433963</v>
      </c>
      <c r="D17" s="8">
        <v>73.58490566037736</v>
      </c>
      <c r="E17" s="8">
        <v>89.62264150943396</v>
      </c>
      <c r="F17" s="8">
        <v>66.98113207547169</v>
      </c>
      <c r="G17" s="8">
        <v>76.41509433962264</v>
      </c>
      <c r="H17" s="8">
        <v>90.56603773584905</v>
      </c>
      <c r="I17" s="8">
        <v>71.69811320754717</v>
      </c>
      <c r="J17" s="8">
        <v>85.84905660377359</v>
      </c>
      <c r="K17" s="8">
        <v>34.905660377358494</v>
      </c>
      <c r="L17" s="8">
        <v>86.79245283018868</v>
      </c>
      <c r="M17" s="8">
        <v>78.30188679245283</v>
      </c>
      <c r="N17" s="8">
        <v>87.73584905660377</v>
      </c>
      <c r="O17" s="8">
        <v>71.69811320754717</v>
      </c>
      <c r="P17" s="8">
        <v>60.37735849056604</v>
      </c>
      <c r="Q17" s="8">
        <v>91.50943396226415</v>
      </c>
      <c r="R17" s="8">
        <v>78.30188679245283</v>
      </c>
      <c r="S17" s="8">
        <v>91.50943396226415</v>
      </c>
      <c r="T17" s="8">
        <v>70.75471698113208</v>
      </c>
      <c r="U17" s="8">
        <v>73.58490566037736</v>
      </c>
      <c r="V17" s="8">
        <v>70.75471698113208</v>
      </c>
      <c r="W17" s="8">
        <v>97.16981132075472</v>
      </c>
      <c r="X17" s="8">
        <v>89.62264150943396</v>
      </c>
      <c r="Y17" s="8">
        <v>77.35849056603773</v>
      </c>
    </row>
  </sheetData>
  <printOptions/>
  <pageMargins left="0.75" right="0.75" top="1" bottom="1" header="0.5" footer="0.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:IV16384"/>
    </sheetView>
  </sheetViews>
  <sheetFormatPr defaultColWidth="9.140625" defaultRowHeight="12.75"/>
  <cols>
    <col min="2" max="2" width="5.421875" style="0" customWidth="1"/>
    <col min="3" max="13" width="4.7109375" style="0" customWidth="1"/>
    <col min="14" max="14" width="6.140625" style="0" customWidth="1"/>
  </cols>
  <sheetData>
    <row r="1" ht="15.75">
      <c r="A1" s="5" t="s">
        <v>190</v>
      </c>
    </row>
    <row r="3" spans="3:14" ht="12.75">
      <c r="C3" s="2" t="s">
        <v>191</v>
      </c>
      <c r="D3" s="2" t="s">
        <v>192</v>
      </c>
      <c r="E3" s="2" t="s">
        <v>193</v>
      </c>
      <c r="F3" s="2" t="s">
        <v>194</v>
      </c>
      <c r="G3" s="2" t="s">
        <v>195</v>
      </c>
      <c r="H3" s="2" t="s">
        <v>196</v>
      </c>
      <c r="I3" s="2" t="s">
        <v>197</v>
      </c>
      <c r="J3" s="2" t="s">
        <v>198</v>
      </c>
      <c r="K3" s="2" t="s">
        <v>199</v>
      </c>
      <c r="L3" s="2" t="s">
        <v>200</v>
      </c>
      <c r="M3" s="3" t="s">
        <v>107</v>
      </c>
      <c r="N3" s="3" t="s">
        <v>246</v>
      </c>
    </row>
    <row r="4" spans="2:14" ht="12.75">
      <c r="B4" s="2" t="s">
        <v>224</v>
      </c>
      <c r="C4" s="138">
        <v>2</v>
      </c>
      <c r="D4" s="138">
        <v>2</v>
      </c>
      <c r="E4" s="138">
        <v>0</v>
      </c>
      <c r="F4" s="138">
        <v>0</v>
      </c>
      <c r="G4" s="138">
        <v>0</v>
      </c>
      <c r="H4" s="138">
        <v>4</v>
      </c>
      <c r="I4" s="138">
        <v>9</v>
      </c>
      <c r="J4" s="138">
        <v>5</v>
      </c>
      <c r="K4" s="138">
        <v>1</v>
      </c>
      <c r="L4" s="138">
        <v>2</v>
      </c>
      <c r="M4" s="139">
        <v>11</v>
      </c>
      <c r="N4" s="140">
        <v>73.3</v>
      </c>
    </row>
    <row r="5" spans="2:14" ht="12.75">
      <c r="B5" s="2" t="s">
        <v>225</v>
      </c>
      <c r="C5" s="138">
        <v>6</v>
      </c>
      <c r="D5" s="138">
        <v>2</v>
      </c>
      <c r="E5" s="138">
        <v>0</v>
      </c>
      <c r="F5" s="138">
        <v>0</v>
      </c>
      <c r="G5" s="138">
        <v>0</v>
      </c>
      <c r="H5" s="138">
        <v>4</v>
      </c>
      <c r="I5" s="138">
        <v>7</v>
      </c>
      <c r="J5" s="138">
        <v>6</v>
      </c>
      <c r="K5" s="138">
        <v>0</v>
      </c>
      <c r="L5" s="138">
        <v>1</v>
      </c>
      <c r="M5" s="139">
        <v>11</v>
      </c>
      <c r="N5" s="140">
        <v>73.3</v>
      </c>
    </row>
    <row r="6" spans="2:14" ht="12.75">
      <c r="B6" s="2" t="s">
        <v>226</v>
      </c>
      <c r="C6" s="138">
        <v>4</v>
      </c>
      <c r="D6" s="138">
        <v>1</v>
      </c>
      <c r="E6" s="138">
        <v>0</v>
      </c>
      <c r="F6" s="138">
        <v>0</v>
      </c>
      <c r="G6" s="138">
        <v>0</v>
      </c>
      <c r="H6" s="138">
        <v>1</v>
      </c>
      <c r="I6" s="138">
        <v>8</v>
      </c>
      <c r="J6" s="138">
        <v>6</v>
      </c>
      <c r="K6" s="138">
        <v>0</v>
      </c>
      <c r="L6" s="138">
        <v>2</v>
      </c>
      <c r="M6" s="139">
        <v>11</v>
      </c>
      <c r="N6" s="140">
        <v>73.3</v>
      </c>
    </row>
    <row r="7" spans="2:14" ht="12.75">
      <c r="B7" s="2" t="s">
        <v>227</v>
      </c>
      <c r="C7" s="138">
        <v>9</v>
      </c>
      <c r="D7" s="138">
        <v>1</v>
      </c>
      <c r="E7" s="138">
        <v>2</v>
      </c>
      <c r="F7" s="138">
        <v>2</v>
      </c>
      <c r="G7" s="138">
        <v>2</v>
      </c>
      <c r="H7" s="138">
        <v>1</v>
      </c>
      <c r="I7" s="138">
        <v>9</v>
      </c>
      <c r="J7" s="138">
        <v>7</v>
      </c>
      <c r="K7" s="138">
        <v>0</v>
      </c>
      <c r="L7" s="138">
        <v>0</v>
      </c>
      <c r="M7" s="139">
        <v>11</v>
      </c>
      <c r="N7" s="140">
        <v>73.3</v>
      </c>
    </row>
    <row r="8" spans="2:14" ht="12.75">
      <c r="B8" s="2" t="s">
        <v>228</v>
      </c>
      <c r="C8" s="138">
        <v>0</v>
      </c>
      <c r="D8" s="138">
        <v>3</v>
      </c>
      <c r="E8" s="138">
        <v>0</v>
      </c>
      <c r="F8" s="138">
        <v>8</v>
      </c>
      <c r="G8" s="138">
        <v>1</v>
      </c>
      <c r="H8" s="138">
        <v>0</v>
      </c>
      <c r="I8" s="138">
        <v>7</v>
      </c>
      <c r="J8" s="138">
        <v>7</v>
      </c>
      <c r="K8" s="138">
        <v>0</v>
      </c>
      <c r="L8" s="138">
        <v>0</v>
      </c>
      <c r="M8" s="139">
        <v>11</v>
      </c>
      <c r="N8" s="140">
        <v>73.3</v>
      </c>
    </row>
    <row r="9" spans="2:14" ht="12.75">
      <c r="B9" s="2" t="s">
        <v>229</v>
      </c>
      <c r="C9" s="138">
        <v>0</v>
      </c>
      <c r="D9" s="138">
        <v>0</v>
      </c>
      <c r="E9" s="138">
        <v>0</v>
      </c>
      <c r="F9" s="138">
        <v>0</v>
      </c>
      <c r="G9" s="138">
        <v>0</v>
      </c>
      <c r="H9" s="138">
        <v>2</v>
      </c>
      <c r="I9" s="138">
        <v>4</v>
      </c>
      <c r="J9" s="138">
        <v>3</v>
      </c>
      <c r="K9" s="138">
        <v>0</v>
      </c>
      <c r="L9" s="138">
        <v>0</v>
      </c>
      <c r="M9" s="139">
        <v>7</v>
      </c>
      <c r="N9" s="140">
        <v>46.7</v>
      </c>
    </row>
    <row r="10" spans="2:14" ht="12.75">
      <c r="B10" s="2" t="s">
        <v>230</v>
      </c>
      <c r="C10" s="138">
        <v>1</v>
      </c>
      <c r="D10" s="138">
        <v>0</v>
      </c>
      <c r="E10" s="138">
        <v>0</v>
      </c>
      <c r="F10" s="138">
        <v>0</v>
      </c>
      <c r="G10" s="138">
        <v>0</v>
      </c>
      <c r="H10" s="138">
        <v>1</v>
      </c>
      <c r="I10" s="138">
        <v>2</v>
      </c>
      <c r="J10" s="138">
        <v>2</v>
      </c>
      <c r="K10" s="138">
        <v>4</v>
      </c>
      <c r="L10" s="138">
        <v>0</v>
      </c>
      <c r="M10" s="139">
        <v>7</v>
      </c>
      <c r="N10" s="140">
        <v>46.7</v>
      </c>
    </row>
    <row r="11" spans="2:14" ht="12.75">
      <c r="B11" s="2" t="s">
        <v>231</v>
      </c>
      <c r="C11" s="138">
        <v>8</v>
      </c>
      <c r="D11" s="138">
        <v>0</v>
      </c>
      <c r="E11" s="138">
        <v>1</v>
      </c>
      <c r="F11" s="138">
        <v>1</v>
      </c>
      <c r="G11" s="138">
        <v>0</v>
      </c>
      <c r="H11" s="138">
        <v>1</v>
      </c>
      <c r="I11" s="138">
        <v>8</v>
      </c>
      <c r="J11" s="138">
        <v>5</v>
      </c>
      <c r="K11" s="138">
        <v>0</v>
      </c>
      <c r="L11" s="138">
        <v>0</v>
      </c>
      <c r="M11" s="139">
        <v>10</v>
      </c>
      <c r="N11" s="140">
        <v>66.7</v>
      </c>
    </row>
    <row r="12" spans="2:14" ht="12.75">
      <c r="B12" s="2" t="s">
        <v>232</v>
      </c>
      <c r="C12" s="138">
        <v>3</v>
      </c>
      <c r="D12" s="138">
        <v>0</v>
      </c>
      <c r="E12" s="138">
        <v>0</v>
      </c>
      <c r="F12" s="138">
        <v>4</v>
      </c>
      <c r="G12" s="138">
        <v>4</v>
      </c>
      <c r="H12" s="138">
        <v>0</v>
      </c>
      <c r="I12" s="138">
        <v>6</v>
      </c>
      <c r="J12" s="138">
        <v>7</v>
      </c>
      <c r="K12" s="138">
        <v>0</v>
      </c>
      <c r="L12" s="138">
        <v>0</v>
      </c>
      <c r="M12" s="139">
        <v>10</v>
      </c>
      <c r="N12" s="140">
        <v>66.7</v>
      </c>
    </row>
    <row r="13" spans="2:14" ht="12.75">
      <c r="B13" s="2" t="s">
        <v>233</v>
      </c>
      <c r="C13" s="138">
        <v>6</v>
      </c>
      <c r="D13" s="138">
        <v>1</v>
      </c>
      <c r="E13" s="138">
        <v>0</v>
      </c>
      <c r="F13" s="138">
        <v>0</v>
      </c>
      <c r="G13" s="138">
        <v>1</v>
      </c>
      <c r="H13" s="138">
        <v>2</v>
      </c>
      <c r="I13" s="138">
        <v>6</v>
      </c>
      <c r="J13" s="138">
        <v>5</v>
      </c>
      <c r="K13" s="138">
        <v>2</v>
      </c>
      <c r="L13" s="138">
        <v>0</v>
      </c>
      <c r="M13" s="139">
        <v>9</v>
      </c>
      <c r="N13" s="140">
        <v>60</v>
      </c>
    </row>
    <row r="14" spans="2:14" ht="12.75">
      <c r="B14" s="2" t="s">
        <v>234</v>
      </c>
      <c r="C14">
        <v>0</v>
      </c>
      <c r="D14">
        <v>0</v>
      </c>
      <c r="E14">
        <v>0</v>
      </c>
      <c r="F14">
        <v>7</v>
      </c>
      <c r="G14">
        <v>5</v>
      </c>
      <c r="H14">
        <v>0</v>
      </c>
      <c r="I14">
        <v>6</v>
      </c>
      <c r="J14">
        <v>7</v>
      </c>
      <c r="K14">
        <v>0</v>
      </c>
      <c r="L14">
        <v>0</v>
      </c>
      <c r="M14" s="139">
        <v>10</v>
      </c>
      <c r="N14" s="140">
        <v>66.7</v>
      </c>
    </row>
    <row r="15" spans="2:14" ht="12.75">
      <c r="B15" s="2" t="s">
        <v>235</v>
      </c>
      <c r="C15">
        <v>1</v>
      </c>
      <c r="D15">
        <v>1</v>
      </c>
      <c r="E15">
        <v>0</v>
      </c>
      <c r="F15">
        <v>0</v>
      </c>
      <c r="G15">
        <v>1</v>
      </c>
      <c r="H15">
        <v>0</v>
      </c>
      <c r="I15">
        <v>8</v>
      </c>
      <c r="J15">
        <v>7</v>
      </c>
      <c r="K15">
        <v>4</v>
      </c>
      <c r="L15">
        <v>1</v>
      </c>
      <c r="M15" s="139">
        <v>10</v>
      </c>
      <c r="N15" s="140">
        <v>66.7</v>
      </c>
    </row>
    <row r="16" spans="2:14" ht="12.75">
      <c r="B16" s="2" t="s">
        <v>236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6</v>
      </c>
      <c r="J16">
        <v>7</v>
      </c>
      <c r="K16">
        <v>1</v>
      </c>
      <c r="L16">
        <v>0</v>
      </c>
      <c r="M16" s="139">
        <v>9</v>
      </c>
      <c r="N16" s="140">
        <v>60</v>
      </c>
    </row>
    <row r="17" spans="2:14" ht="12.75">
      <c r="B17" s="2" t="s">
        <v>237</v>
      </c>
      <c r="C17">
        <v>0</v>
      </c>
      <c r="D17">
        <v>2</v>
      </c>
      <c r="E17">
        <v>0</v>
      </c>
      <c r="F17">
        <v>2</v>
      </c>
      <c r="G17">
        <v>1</v>
      </c>
      <c r="H17">
        <v>0</v>
      </c>
      <c r="I17">
        <v>7</v>
      </c>
      <c r="J17">
        <v>6</v>
      </c>
      <c r="K17">
        <v>1</v>
      </c>
      <c r="L17">
        <v>0</v>
      </c>
      <c r="M17" s="139">
        <v>8</v>
      </c>
      <c r="N17" s="140">
        <v>53.3</v>
      </c>
    </row>
    <row r="18" spans="2:14" ht="12.75">
      <c r="B18" s="2" t="s">
        <v>238</v>
      </c>
      <c r="C18">
        <v>0</v>
      </c>
      <c r="D18">
        <v>0</v>
      </c>
      <c r="E18">
        <v>0</v>
      </c>
      <c r="F18">
        <v>1</v>
      </c>
      <c r="G18">
        <v>2</v>
      </c>
      <c r="H18">
        <v>0</v>
      </c>
      <c r="I18">
        <v>6</v>
      </c>
      <c r="J18">
        <v>6</v>
      </c>
      <c r="K18">
        <v>2</v>
      </c>
      <c r="L18">
        <v>0</v>
      </c>
      <c r="M18" s="139">
        <v>9</v>
      </c>
      <c r="N18" s="140">
        <v>60</v>
      </c>
    </row>
    <row r="19" spans="2:14" ht="12.75">
      <c r="B19" s="2" t="s">
        <v>239</v>
      </c>
      <c r="C19">
        <v>3</v>
      </c>
      <c r="D19">
        <v>2</v>
      </c>
      <c r="E19">
        <v>0</v>
      </c>
      <c r="F19">
        <v>6</v>
      </c>
      <c r="G19">
        <v>3</v>
      </c>
      <c r="H19">
        <v>1</v>
      </c>
      <c r="I19">
        <v>4</v>
      </c>
      <c r="J19">
        <v>5</v>
      </c>
      <c r="K19">
        <v>1</v>
      </c>
      <c r="L19">
        <v>0</v>
      </c>
      <c r="M19" s="139">
        <v>7</v>
      </c>
      <c r="N19" s="140">
        <v>46.7</v>
      </c>
    </row>
    <row r="20" spans="2:14" ht="12.75">
      <c r="B20" s="2" t="s">
        <v>240</v>
      </c>
      <c r="C20">
        <v>1</v>
      </c>
      <c r="D20">
        <v>0</v>
      </c>
      <c r="E20">
        <v>0</v>
      </c>
      <c r="F20">
        <v>8</v>
      </c>
      <c r="G20">
        <v>3</v>
      </c>
      <c r="H20">
        <v>0</v>
      </c>
      <c r="I20">
        <v>5</v>
      </c>
      <c r="J20">
        <v>6</v>
      </c>
      <c r="K20">
        <v>3</v>
      </c>
      <c r="L20">
        <v>0</v>
      </c>
      <c r="M20" s="139">
        <v>10</v>
      </c>
      <c r="N20" s="140">
        <v>66.7</v>
      </c>
    </row>
    <row r="21" spans="2:14" ht="12.75">
      <c r="B21" s="2" t="s">
        <v>241</v>
      </c>
      <c r="C21">
        <v>1</v>
      </c>
      <c r="D21">
        <v>1</v>
      </c>
      <c r="E21">
        <v>0</v>
      </c>
      <c r="F21">
        <v>8</v>
      </c>
      <c r="G21">
        <v>3</v>
      </c>
      <c r="H21">
        <v>1</v>
      </c>
      <c r="I21">
        <v>4</v>
      </c>
      <c r="J21">
        <v>5</v>
      </c>
      <c r="K21">
        <v>2</v>
      </c>
      <c r="L21">
        <v>0</v>
      </c>
      <c r="M21" s="139">
        <v>10</v>
      </c>
      <c r="N21" s="140">
        <v>66.7</v>
      </c>
    </row>
    <row r="22" spans="2:14" ht="12.75">
      <c r="B22" s="2" t="s">
        <v>242</v>
      </c>
      <c r="C22">
        <v>2</v>
      </c>
      <c r="D22">
        <v>1</v>
      </c>
      <c r="E22">
        <v>0</v>
      </c>
      <c r="F22">
        <v>8</v>
      </c>
      <c r="G22">
        <v>0</v>
      </c>
      <c r="H22">
        <v>0</v>
      </c>
      <c r="I22">
        <v>3</v>
      </c>
      <c r="J22">
        <v>2</v>
      </c>
      <c r="K22">
        <v>0</v>
      </c>
      <c r="L22">
        <v>0</v>
      </c>
      <c r="M22" s="139">
        <v>9</v>
      </c>
      <c r="N22" s="140">
        <v>60</v>
      </c>
    </row>
    <row r="23" spans="2:14" ht="12.75">
      <c r="B23" s="2" t="s">
        <v>243</v>
      </c>
      <c r="C23">
        <v>5</v>
      </c>
      <c r="D23">
        <v>1</v>
      </c>
      <c r="E23">
        <v>0</v>
      </c>
      <c r="F23">
        <v>8</v>
      </c>
      <c r="G23">
        <v>1</v>
      </c>
      <c r="H23">
        <v>0</v>
      </c>
      <c r="I23">
        <v>3</v>
      </c>
      <c r="J23">
        <v>2</v>
      </c>
      <c r="K23">
        <v>1</v>
      </c>
      <c r="L23">
        <v>0</v>
      </c>
      <c r="M23" s="139">
        <v>9</v>
      </c>
      <c r="N23" s="140">
        <v>60</v>
      </c>
    </row>
    <row r="24" spans="2:14" ht="12.75">
      <c r="B24" s="2" t="s">
        <v>244</v>
      </c>
      <c r="C24">
        <v>7</v>
      </c>
      <c r="D24">
        <v>4</v>
      </c>
      <c r="E24">
        <v>0</v>
      </c>
      <c r="F24">
        <v>6</v>
      </c>
      <c r="G24">
        <v>2</v>
      </c>
      <c r="H24">
        <v>0</v>
      </c>
      <c r="I24">
        <v>5</v>
      </c>
      <c r="J24">
        <v>3</v>
      </c>
      <c r="K24">
        <v>2</v>
      </c>
      <c r="L24">
        <v>1</v>
      </c>
      <c r="M24" s="139">
        <v>9</v>
      </c>
      <c r="N24" s="140">
        <v>60</v>
      </c>
    </row>
    <row r="25" spans="2:13" ht="12.75">
      <c r="B25" t="s">
        <v>97</v>
      </c>
      <c r="C25" s="137">
        <v>22</v>
      </c>
      <c r="D25" s="137">
        <v>9</v>
      </c>
      <c r="E25" s="137">
        <v>2</v>
      </c>
      <c r="F25" s="137">
        <v>10</v>
      </c>
      <c r="G25" s="137">
        <v>3</v>
      </c>
      <c r="H25" s="137">
        <v>13</v>
      </c>
      <c r="I25" s="137">
        <v>46</v>
      </c>
      <c r="J25" s="137">
        <v>36</v>
      </c>
      <c r="K25" s="137">
        <v>5</v>
      </c>
      <c r="L25" s="137">
        <v>5</v>
      </c>
      <c r="M25" s="136">
        <v>15</v>
      </c>
    </row>
    <row r="26" spans="2:12" ht="12.75">
      <c r="B26" t="s">
        <v>98</v>
      </c>
      <c r="C26" s="137">
        <v>21</v>
      </c>
      <c r="D26" s="137">
        <v>6</v>
      </c>
      <c r="E26" s="137">
        <v>1</v>
      </c>
      <c r="F26" s="137">
        <v>21</v>
      </c>
      <c r="G26" s="137">
        <v>18</v>
      </c>
      <c r="H26" s="137">
        <v>4</v>
      </c>
      <c r="I26" s="137">
        <v>57</v>
      </c>
      <c r="J26" s="137">
        <v>55</v>
      </c>
      <c r="K26" s="137">
        <v>11</v>
      </c>
      <c r="L26" s="137">
        <v>1</v>
      </c>
    </row>
    <row r="27" spans="2:12" ht="12.75">
      <c r="B27" t="s">
        <v>99</v>
      </c>
      <c r="C27" s="137">
        <v>16</v>
      </c>
      <c r="D27" s="137">
        <v>7</v>
      </c>
      <c r="E27" s="137">
        <v>0</v>
      </c>
      <c r="F27" s="137">
        <v>38</v>
      </c>
      <c r="G27" s="137">
        <v>9</v>
      </c>
      <c r="H27" s="137">
        <v>1</v>
      </c>
      <c r="I27" s="137">
        <v>20</v>
      </c>
      <c r="J27" s="137">
        <v>18</v>
      </c>
      <c r="K27" s="137">
        <v>8</v>
      </c>
      <c r="L27" s="137">
        <v>1</v>
      </c>
    </row>
    <row r="28" spans="2:12" ht="12.75">
      <c r="B28" t="s">
        <v>245</v>
      </c>
      <c r="C28" s="137">
        <v>59</v>
      </c>
      <c r="D28" s="137">
        <v>22</v>
      </c>
      <c r="E28" s="137">
        <v>3</v>
      </c>
      <c r="F28" s="137">
        <v>69</v>
      </c>
      <c r="G28" s="137">
        <v>30</v>
      </c>
      <c r="H28" s="137">
        <v>18</v>
      </c>
      <c r="I28" s="137">
        <v>123</v>
      </c>
      <c r="J28" s="137">
        <v>109</v>
      </c>
      <c r="K28" s="137">
        <v>24</v>
      </c>
      <c r="L28" s="137">
        <v>7</v>
      </c>
    </row>
  </sheetData>
  <printOptions/>
  <pageMargins left="0.75" right="0.75" top="1" bottom="1" header="0.5" footer="0.5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5"/>
  <sheetViews>
    <sheetView showGridLines="0" showRowColHeaders="0" workbookViewId="0" topLeftCell="A1">
      <selection activeCell="W8" sqref="W8"/>
    </sheetView>
  </sheetViews>
  <sheetFormatPr defaultColWidth="9.140625" defaultRowHeight="12.75"/>
  <cols>
    <col min="1" max="15" width="5.8515625" style="0" customWidth="1"/>
    <col min="16" max="16" width="1.7109375" style="0" customWidth="1"/>
    <col min="17" max="18" width="5.8515625" style="0" customWidth="1"/>
    <col min="19" max="21" width="9.421875" style="0" hidden="1" customWidth="1"/>
  </cols>
  <sheetData>
    <row r="1" ht="15" customHeight="1">
      <c r="A1" s="1" t="s">
        <v>247</v>
      </c>
    </row>
    <row r="2" spans="1:21" ht="15" customHeight="1">
      <c r="A2" s="88" t="s">
        <v>248</v>
      </c>
      <c r="S2" s="89"/>
      <c r="T2" s="89" t="s">
        <v>224</v>
      </c>
      <c r="U2" s="89"/>
    </row>
    <row r="3" spans="1:21" ht="15" customHeight="1">
      <c r="A3" s="90" t="s">
        <v>22</v>
      </c>
      <c r="S3" s="89"/>
      <c r="T3" s="89" t="s">
        <v>225</v>
      </c>
      <c r="U3" s="89"/>
    </row>
    <row r="4" spans="19:21" ht="12.75">
      <c r="S4" s="89"/>
      <c r="T4" s="89" t="s">
        <v>226</v>
      </c>
      <c r="U4" s="89"/>
    </row>
    <row r="5" spans="2:21" ht="14.25">
      <c r="B5" s="91" t="str">
        <f>IF(RIGHT(LEFT(A7,2),1)=".",VLOOKUP(LEFT(A7,1),Fasi,2,FALSE),"")</f>
        <v>Fase di attivazione</v>
      </c>
      <c r="S5" s="89"/>
      <c r="T5" s="89" t="s">
        <v>227</v>
      </c>
      <c r="U5" s="89"/>
    </row>
    <row r="6" spans="19:21" ht="5.25" customHeight="1">
      <c r="S6" s="89"/>
      <c r="T6" s="89" t="s">
        <v>228</v>
      </c>
      <c r="U6" s="89"/>
    </row>
    <row r="7" spans="1:21" ht="12.75">
      <c r="A7" s="92" t="s">
        <v>226</v>
      </c>
      <c r="B7" s="170" t="str">
        <f>VLOOKUP(A7,AZ,2,FALSE)</f>
        <v>L'attivazione delle forme di collaborazione con Aziende/Enti è stata effettuata da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2"/>
      <c r="S7" s="89"/>
      <c r="T7" s="89" t="s">
        <v>229</v>
      </c>
      <c r="U7" s="89"/>
    </row>
    <row r="8" spans="2:21" ht="17.25" customHeight="1">
      <c r="B8" s="173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5"/>
      <c r="S8" s="89"/>
      <c r="T8" s="89" t="s">
        <v>230</v>
      </c>
      <c r="U8" s="89"/>
    </row>
    <row r="9" spans="19:21" ht="7.5" customHeight="1">
      <c r="S9" s="89"/>
      <c r="T9" s="89" t="s">
        <v>231</v>
      </c>
      <c r="U9" s="89"/>
    </row>
    <row r="10" spans="2:21" ht="14.25">
      <c r="B10" s="90" t="str">
        <f>IF(B5="","",CONCATENATE("Azione segnalata da ",VLOOKUP(A7,AR,12,FALSE)," Istituti su 15, pari a ",VLOOKUP(A7,AR,13,FALSE)," percento del totale"))</f>
        <v>Azione segnalata da 11 Istituti su 15, pari a 73,3 percento del totale</v>
      </c>
      <c r="S10" s="89"/>
      <c r="T10" s="89" t="s">
        <v>232</v>
      </c>
      <c r="U10" s="89"/>
    </row>
    <row r="11" spans="19:21" ht="18.75" customHeight="1">
      <c r="S11" s="89"/>
      <c r="T11" s="89" t="s">
        <v>233</v>
      </c>
      <c r="U11" s="89"/>
    </row>
    <row r="12" spans="1:21" ht="16.5" customHeight="1">
      <c r="A12" s="93" t="s">
        <v>249</v>
      </c>
      <c r="B12" s="94" t="s">
        <v>250</v>
      </c>
      <c r="C12" s="95"/>
      <c r="D12" s="95"/>
      <c r="E12" s="95"/>
      <c r="F12" s="96"/>
      <c r="G12" s="93" t="s">
        <v>251</v>
      </c>
      <c r="H12" s="97" t="s">
        <v>252</v>
      </c>
      <c r="I12" s="98" t="s">
        <v>253</v>
      </c>
      <c r="K12" s="99" t="str">
        <f>IF(L12="","","IC =")</f>
        <v>IC =</v>
      </c>
      <c r="L12" s="100">
        <f>IF(OR(A7="A",A7="B",A7="C",A7="Tot"),"",G24/VLOOKUP(A7,AR,12,FALSE))</f>
        <v>2</v>
      </c>
      <c r="S12" s="89"/>
      <c r="T12" s="89" t="s">
        <v>234</v>
      </c>
      <c r="U12" s="89"/>
    </row>
    <row r="13" spans="1:21" ht="16.5" customHeight="1">
      <c r="A13" s="101" t="s">
        <v>191</v>
      </c>
      <c r="B13" s="102" t="s">
        <v>254</v>
      </c>
      <c r="C13" s="102"/>
      <c r="D13" s="102"/>
      <c r="E13" s="102"/>
      <c r="F13" s="103"/>
      <c r="G13" s="101">
        <f>IF($A$7="","",VLOOKUP($A$7,AR,2,FALSE))</f>
        <v>4</v>
      </c>
      <c r="H13" s="104">
        <f aca="true" t="shared" si="0" ref="H13:H22">G13*100/$G$24</f>
        <v>18.181818181818183</v>
      </c>
      <c r="I13" s="105">
        <f aca="true" t="shared" si="1" ref="I13:I22">RANK(H13,$H$13:$H$22)</f>
        <v>3</v>
      </c>
      <c r="S13" s="89"/>
      <c r="T13" s="89" t="s">
        <v>235</v>
      </c>
      <c r="U13" s="89"/>
    </row>
    <row r="14" spans="1:21" ht="16.5" customHeight="1">
      <c r="A14" s="106" t="s">
        <v>192</v>
      </c>
      <c r="B14" s="107" t="s">
        <v>255</v>
      </c>
      <c r="C14" s="107"/>
      <c r="D14" s="107"/>
      <c r="E14" s="107"/>
      <c r="F14" s="108"/>
      <c r="G14" s="106">
        <f>IF($A$7="","",VLOOKUP($A$7,AR,3,FALSE))</f>
        <v>1</v>
      </c>
      <c r="H14" s="109">
        <f t="shared" si="0"/>
        <v>4.545454545454546</v>
      </c>
      <c r="I14" s="110">
        <f t="shared" si="1"/>
        <v>5</v>
      </c>
      <c r="K14" s="111" t="s">
        <v>183</v>
      </c>
      <c r="L14" s="112"/>
      <c r="M14" s="112"/>
      <c r="N14" s="112"/>
      <c r="O14" s="113"/>
      <c r="S14" s="89"/>
      <c r="T14" s="89" t="s">
        <v>236</v>
      </c>
      <c r="U14" s="89"/>
    </row>
    <row r="15" spans="1:21" ht="16.5" customHeight="1">
      <c r="A15" s="106" t="s">
        <v>193</v>
      </c>
      <c r="B15" s="114" t="s">
        <v>256</v>
      </c>
      <c r="C15" s="107"/>
      <c r="D15" s="107"/>
      <c r="E15" s="107"/>
      <c r="F15" s="108"/>
      <c r="G15" s="106">
        <f>IF($A$7="","",VLOOKUP($A$7,AR,4,FALSE))</f>
        <v>0</v>
      </c>
      <c r="H15" s="109">
        <f t="shared" si="0"/>
        <v>0</v>
      </c>
      <c r="I15" s="110">
        <f t="shared" si="1"/>
        <v>7</v>
      </c>
      <c r="K15" s="115" t="s">
        <v>271</v>
      </c>
      <c r="L15" s="116" t="s">
        <v>257</v>
      </c>
      <c r="M15" s="117"/>
      <c r="N15" s="117"/>
      <c r="O15" s="118"/>
      <c r="S15" s="89"/>
      <c r="T15" s="89" t="s">
        <v>237</v>
      </c>
      <c r="U15" s="89"/>
    </row>
    <row r="16" spans="1:21" ht="16.5" customHeight="1">
      <c r="A16" s="106" t="s">
        <v>194</v>
      </c>
      <c r="B16" s="107" t="s">
        <v>258</v>
      </c>
      <c r="C16" s="107"/>
      <c r="D16" s="107"/>
      <c r="E16" s="107"/>
      <c r="F16" s="108"/>
      <c r="G16" s="106">
        <f>IF($A$7="","",VLOOKUP($A$7,AR,5,FALSE))</f>
        <v>0</v>
      </c>
      <c r="H16" s="109">
        <f t="shared" si="0"/>
        <v>0</v>
      </c>
      <c r="I16" s="110">
        <f t="shared" si="1"/>
        <v>7</v>
      </c>
      <c r="K16" s="115" t="s">
        <v>272</v>
      </c>
      <c r="L16" s="116" t="s">
        <v>259</v>
      </c>
      <c r="M16" s="117"/>
      <c r="N16" s="117"/>
      <c r="O16" s="118"/>
      <c r="S16" s="89"/>
      <c r="T16" s="89" t="s">
        <v>238</v>
      </c>
      <c r="U16" s="89"/>
    </row>
    <row r="17" spans="1:21" ht="16.5" customHeight="1">
      <c r="A17" s="106" t="s">
        <v>195</v>
      </c>
      <c r="B17" s="107" t="s">
        <v>260</v>
      </c>
      <c r="C17" s="107"/>
      <c r="D17" s="107"/>
      <c r="E17" s="107"/>
      <c r="F17" s="108"/>
      <c r="G17" s="106">
        <f>IF($A$7="","",VLOOKUP($A$7,AR,6,FALSE))</f>
        <v>0</v>
      </c>
      <c r="H17" s="109">
        <f t="shared" si="0"/>
        <v>0</v>
      </c>
      <c r="I17" s="110">
        <f t="shared" si="1"/>
        <v>7</v>
      </c>
      <c r="K17" s="115" t="s">
        <v>273</v>
      </c>
      <c r="L17" s="116" t="s">
        <v>274</v>
      </c>
      <c r="M17" s="117"/>
      <c r="N17" s="117"/>
      <c r="O17" s="118"/>
      <c r="S17" s="89"/>
      <c r="T17" s="89" t="s">
        <v>239</v>
      </c>
      <c r="U17" s="89"/>
    </row>
    <row r="18" spans="1:21" ht="16.5" customHeight="1">
      <c r="A18" s="106" t="s">
        <v>196</v>
      </c>
      <c r="B18" s="107" t="s">
        <v>261</v>
      </c>
      <c r="C18" s="107"/>
      <c r="D18" s="107"/>
      <c r="E18" s="107"/>
      <c r="F18" s="108"/>
      <c r="G18" s="106">
        <f>IF($A$7="","",VLOOKUP($A$7,AR,7,FALSE))</f>
        <v>1</v>
      </c>
      <c r="H18" s="109">
        <f t="shared" si="0"/>
        <v>4.545454545454546</v>
      </c>
      <c r="I18" s="110">
        <f t="shared" si="1"/>
        <v>5</v>
      </c>
      <c r="K18" s="119"/>
      <c r="L18" s="117" t="s">
        <v>262</v>
      </c>
      <c r="M18" s="117"/>
      <c r="N18" s="117"/>
      <c r="O18" s="118"/>
      <c r="S18" s="89"/>
      <c r="T18" s="89" t="s">
        <v>240</v>
      </c>
      <c r="U18" s="89"/>
    </row>
    <row r="19" spans="1:21" ht="16.5" customHeight="1">
      <c r="A19" s="106" t="s">
        <v>197</v>
      </c>
      <c r="B19" s="107" t="s">
        <v>263</v>
      </c>
      <c r="C19" s="107"/>
      <c r="D19" s="107"/>
      <c r="E19" s="107"/>
      <c r="F19" s="108"/>
      <c r="G19" s="106">
        <f>IF($A$7="","",VLOOKUP($A$7,AR,8,FALSE))</f>
        <v>8</v>
      </c>
      <c r="H19" s="109">
        <f t="shared" si="0"/>
        <v>36.36363636363637</v>
      </c>
      <c r="I19" s="110">
        <f t="shared" si="1"/>
        <v>1</v>
      </c>
      <c r="K19" s="115" t="s">
        <v>275</v>
      </c>
      <c r="L19" s="116" t="s">
        <v>264</v>
      </c>
      <c r="M19" s="120"/>
      <c r="N19" s="120"/>
      <c r="O19" s="121"/>
      <c r="S19" s="89"/>
      <c r="T19" s="89" t="s">
        <v>241</v>
      </c>
      <c r="U19" s="89"/>
    </row>
    <row r="20" spans="1:21" ht="16.5" customHeight="1">
      <c r="A20" s="106" t="s">
        <v>198</v>
      </c>
      <c r="B20" s="107" t="s">
        <v>265</v>
      </c>
      <c r="C20" s="107"/>
      <c r="D20" s="107"/>
      <c r="E20" s="107"/>
      <c r="F20" s="108"/>
      <c r="G20" s="106">
        <f>IF($A$7="","",VLOOKUP($A$7,AR,9,FALSE))</f>
        <v>6</v>
      </c>
      <c r="H20" s="109">
        <f t="shared" si="0"/>
        <v>27.272727272727273</v>
      </c>
      <c r="I20" s="110">
        <f t="shared" si="1"/>
        <v>2</v>
      </c>
      <c r="K20" s="119"/>
      <c r="L20" s="117" t="s">
        <v>266</v>
      </c>
      <c r="M20" s="120"/>
      <c r="N20" s="120"/>
      <c r="O20" s="121"/>
      <c r="S20" s="89"/>
      <c r="T20" s="89" t="s">
        <v>242</v>
      </c>
      <c r="U20" s="89"/>
    </row>
    <row r="21" spans="1:21" ht="16.5" customHeight="1">
      <c r="A21" s="106" t="s">
        <v>199</v>
      </c>
      <c r="B21" s="107" t="s">
        <v>267</v>
      </c>
      <c r="C21" s="107"/>
      <c r="D21" s="107"/>
      <c r="E21" s="107"/>
      <c r="F21" s="108"/>
      <c r="G21" s="106">
        <f>IF($A$7="","",VLOOKUP($A$7,AR,10,FALSE))</f>
        <v>0</v>
      </c>
      <c r="H21" s="109">
        <f t="shared" si="0"/>
        <v>0</v>
      </c>
      <c r="I21" s="110">
        <f t="shared" si="1"/>
        <v>7</v>
      </c>
      <c r="K21" s="122"/>
      <c r="L21" s="117" t="s">
        <v>268</v>
      </c>
      <c r="M21" s="120"/>
      <c r="N21" s="120"/>
      <c r="O21" s="121"/>
      <c r="S21" s="89"/>
      <c r="T21" s="89" t="s">
        <v>243</v>
      </c>
      <c r="U21" s="89"/>
    </row>
    <row r="22" spans="1:21" ht="16.5" customHeight="1">
      <c r="A22" s="123" t="s">
        <v>200</v>
      </c>
      <c r="B22" s="124" t="s">
        <v>269</v>
      </c>
      <c r="C22" s="125"/>
      <c r="D22" s="125"/>
      <c r="E22" s="125"/>
      <c r="F22" s="126"/>
      <c r="G22" s="123">
        <f>IF($A$7="","",VLOOKUP($A$7,AR,11,FALSE))</f>
        <v>2</v>
      </c>
      <c r="H22" s="127">
        <f t="shared" si="0"/>
        <v>9.090909090909092</v>
      </c>
      <c r="I22" s="128">
        <f t="shared" si="1"/>
        <v>4</v>
      </c>
      <c r="K22" s="129"/>
      <c r="L22" s="130" t="s">
        <v>270</v>
      </c>
      <c r="M22" s="131"/>
      <c r="N22" s="131"/>
      <c r="O22" s="132"/>
      <c r="S22" s="89"/>
      <c r="T22" s="89" t="s">
        <v>244</v>
      </c>
      <c r="U22" s="89"/>
    </row>
    <row r="23" spans="2:21" ht="8.25" customHeight="1">
      <c r="B23" s="133"/>
      <c r="C23" s="133"/>
      <c r="D23" s="133"/>
      <c r="E23" s="133"/>
      <c r="F23" s="133"/>
      <c r="G23" s="133"/>
      <c r="H23" s="133"/>
      <c r="I23" s="133"/>
      <c r="S23" s="89"/>
      <c r="T23" s="89" t="s">
        <v>97</v>
      </c>
      <c r="U23" s="89"/>
    </row>
    <row r="24" spans="1:21" ht="16.5" customHeight="1">
      <c r="A24" s="134" t="s">
        <v>245</v>
      </c>
      <c r="B24" s="95" t="s">
        <v>108</v>
      </c>
      <c r="C24" s="95"/>
      <c r="D24" s="95"/>
      <c r="E24" s="95"/>
      <c r="F24" s="96"/>
      <c r="G24" s="93">
        <f>SUM(G13:G22)</f>
        <v>22</v>
      </c>
      <c r="H24" s="98">
        <f>SUM(H13:H22)</f>
        <v>100</v>
      </c>
      <c r="I24" s="133"/>
      <c r="S24" s="89"/>
      <c r="T24" s="89" t="s">
        <v>98</v>
      </c>
      <c r="U24" s="89"/>
    </row>
    <row r="25" spans="19:21" ht="12.75">
      <c r="S25" s="89"/>
      <c r="T25" s="89" t="s">
        <v>99</v>
      </c>
      <c r="U25" s="89"/>
    </row>
    <row r="26" spans="19:21" ht="12.75">
      <c r="S26" s="89"/>
      <c r="T26" s="89" t="s">
        <v>245</v>
      </c>
      <c r="U26" s="89"/>
    </row>
    <row r="27" spans="19:21" ht="12.75">
      <c r="S27" s="141"/>
      <c r="T27" s="141"/>
      <c r="U27" s="141"/>
    </row>
    <row r="28" spans="19:21" ht="12.75">
      <c r="S28" s="141"/>
      <c r="T28" s="141"/>
      <c r="U28" s="141"/>
    </row>
    <row r="29" spans="19:21" ht="12.75">
      <c r="S29" s="141"/>
      <c r="T29" s="141"/>
      <c r="U29" s="141"/>
    </row>
    <row r="30" spans="19:21" ht="12.75">
      <c r="S30" s="141"/>
      <c r="T30" s="141"/>
      <c r="U30" s="141"/>
    </row>
    <row r="31" spans="19:21" ht="12.75">
      <c r="S31" s="141"/>
      <c r="T31" s="141"/>
      <c r="U31" s="141"/>
    </row>
    <row r="32" spans="19:21" ht="12.75">
      <c r="S32" s="141"/>
      <c r="T32" s="141"/>
      <c r="U32" s="141"/>
    </row>
    <row r="33" spans="19:21" ht="12.75">
      <c r="S33" s="141"/>
      <c r="T33" s="141"/>
      <c r="U33" s="141"/>
    </row>
    <row r="34" spans="19:21" ht="12.75">
      <c r="S34" s="141"/>
      <c r="T34" s="141"/>
      <c r="U34" s="141"/>
    </row>
    <row r="35" spans="19:21" ht="12.75">
      <c r="S35" s="141"/>
      <c r="T35" s="141"/>
      <c r="U35" s="141"/>
    </row>
  </sheetData>
  <mergeCells count="1">
    <mergeCell ref="B7:O8"/>
  </mergeCells>
  <conditionalFormatting sqref="B13:B22">
    <cfRule type="expression" priority="1" dxfId="0" stopIfTrue="1">
      <formula>I13&lt;=3</formula>
    </cfRule>
  </conditionalFormatting>
  <conditionalFormatting sqref="A13:A22">
    <cfRule type="expression" priority="2" dxfId="0" stopIfTrue="1">
      <formula>I13&lt;=3</formula>
    </cfRule>
  </conditionalFormatting>
  <dataValidations count="1">
    <dataValidation type="list" showInputMessage="1" showErrorMessage="1" sqref="A7">
      <formula1>$T$2:$T$26</formula1>
    </dataValidation>
  </dataValidations>
  <printOptions/>
  <pageMargins left="0.75" right="0.49" top="0.56" bottom="0.87" header="0.35" footer="0.5"/>
  <pageSetup horizontalDpi="360" verticalDpi="360" orientation="portrait" paperSize="9" r:id="rId2"/>
  <headerFooter alignWithMargins="0">
    <oddFooter>&amp;L&amp;8Analisi dei dati a cura di Sante Velo&amp;C&amp;8&amp;F [&amp;A]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0"/>
  <sheetViews>
    <sheetView showGridLines="0" showRowColHeaders="0" workbookViewId="0" topLeftCell="A1">
      <selection activeCell="Y12" sqref="Y12"/>
    </sheetView>
  </sheetViews>
  <sheetFormatPr defaultColWidth="9.140625" defaultRowHeight="12.75"/>
  <cols>
    <col min="1" max="16" width="5.8515625" style="0" customWidth="1"/>
    <col min="17" max="17" width="0.85546875" style="0" customWidth="1"/>
    <col min="18" max="18" width="5.8515625" style="0" customWidth="1"/>
    <col min="19" max="19" width="7.421875" style="0" customWidth="1"/>
    <col min="20" max="22" width="7.421875" style="0" hidden="1" customWidth="1"/>
    <col min="23" max="23" width="7.421875" style="0" customWidth="1"/>
  </cols>
  <sheetData>
    <row r="1" ht="15" customHeight="1">
      <c r="A1" s="1" t="s">
        <v>247</v>
      </c>
    </row>
    <row r="2" spans="1:22" ht="15" customHeight="1">
      <c r="A2" s="88" t="s">
        <v>248</v>
      </c>
      <c r="T2" s="89"/>
      <c r="U2" s="89" t="s">
        <v>191</v>
      </c>
      <c r="V2" s="89"/>
    </row>
    <row r="3" spans="1:22" ht="15" customHeight="1">
      <c r="A3" s="90" t="s">
        <v>23</v>
      </c>
      <c r="T3" s="89"/>
      <c r="U3" s="89" t="s">
        <v>192</v>
      </c>
      <c r="V3" s="89"/>
    </row>
    <row r="4" spans="20:22" ht="12.75">
      <c r="T4" s="89"/>
      <c r="U4" s="89" t="s">
        <v>193</v>
      </c>
      <c r="V4" s="89"/>
    </row>
    <row r="5" spans="1:22" ht="12.75">
      <c r="A5" s="92" t="s">
        <v>191</v>
      </c>
      <c r="B5" s="176" t="str">
        <f>VLOOKUP(A5,RL,2,FALSE)</f>
        <v>Dirigente Scolastico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8"/>
      <c r="T5" s="89"/>
      <c r="U5" s="89" t="s">
        <v>194</v>
      </c>
      <c r="V5" s="89"/>
    </row>
    <row r="6" spans="2:22" ht="12" customHeight="1">
      <c r="B6" s="179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1"/>
      <c r="T6" s="89"/>
      <c r="U6" s="89" t="s">
        <v>195</v>
      </c>
      <c r="V6" s="89"/>
    </row>
    <row r="7" spans="20:22" ht="18.75" customHeight="1">
      <c r="T7" s="89"/>
      <c r="U7" s="89" t="s">
        <v>196</v>
      </c>
      <c r="V7" s="89"/>
    </row>
    <row r="8" spans="1:22" ht="16.5" customHeight="1">
      <c r="A8" s="93" t="s">
        <v>249</v>
      </c>
      <c r="B8" s="94" t="s">
        <v>0</v>
      </c>
      <c r="C8" s="95"/>
      <c r="D8" s="95"/>
      <c r="E8" s="95"/>
      <c r="F8" s="142"/>
      <c r="G8" s="142"/>
      <c r="H8" s="142"/>
      <c r="I8" s="142"/>
      <c r="J8" s="142"/>
      <c r="K8" s="142"/>
      <c r="L8" s="142"/>
      <c r="M8" s="96"/>
      <c r="N8" s="93" t="s">
        <v>251</v>
      </c>
      <c r="O8" s="97" t="s">
        <v>252</v>
      </c>
      <c r="P8" s="98" t="s">
        <v>253</v>
      </c>
      <c r="T8" s="89"/>
      <c r="U8" s="89" t="s">
        <v>197</v>
      </c>
      <c r="V8" s="89"/>
    </row>
    <row r="9" spans="1:22" ht="16.5" customHeight="1">
      <c r="A9" s="143" t="s">
        <v>224</v>
      </c>
      <c r="B9" s="144" t="s">
        <v>7</v>
      </c>
      <c r="C9" s="102"/>
      <c r="D9" s="102"/>
      <c r="E9" s="102"/>
      <c r="F9" s="102"/>
      <c r="G9" s="41"/>
      <c r="H9" s="41"/>
      <c r="I9" s="41"/>
      <c r="J9" s="41"/>
      <c r="K9" s="41"/>
      <c r="L9" s="41"/>
      <c r="M9" s="145"/>
      <c r="N9" s="101">
        <f>IF($A$5="","",HLOOKUP($A$5,RU,2,FALSE))</f>
        <v>2</v>
      </c>
      <c r="O9" s="104">
        <f aca="true" t="shared" si="0" ref="O9:O28">N9*100/VLOOKUP(A9,AR,12,FALSE)</f>
        <v>18.181818181818183</v>
      </c>
      <c r="P9" s="105">
        <f aca="true" t="shared" si="1" ref="P9:P29">RANK(O9,$O$9:$O$29)</f>
        <v>11</v>
      </c>
      <c r="T9" s="89"/>
      <c r="U9" s="89" t="s">
        <v>198</v>
      </c>
      <c r="V9" s="89"/>
    </row>
    <row r="10" spans="1:22" ht="16.5" customHeight="1">
      <c r="A10" s="146" t="s">
        <v>225</v>
      </c>
      <c r="B10" s="147" t="s">
        <v>8</v>
      </c>
      <c r="C10" s="107"/>
      <c r="D10" s="107"/>
      <c r="E10" s="107"/>
      <c r="F10" s="107"/>
      <c r="G10" s="42"/>
      <c r="H10" s="42"/>
      <c r="I10" s="42"/>
      <c r="J10" s="42"/>
      <c r="K10" s="42"/>
      <c r="L10" s="42"/>
      <c r="M10" s="148"/>
      <c r="N10" s="106">
        <f>IF($A$5="","",HLOOKUP($A$5,RU,3,FALSE))</f>
        <v>6</v>
      </c>
      <c r="O10" s="109">
        <f t="shared" si="0"/>
        <v>54.54545454545455</v>
      </c>
      <c r="P10" s="110">
        <f t="shared" si="1"/>
        <v>6</v>
      </c>
      <c r="T10" s="89"/>
      <c r="U10" s="89" t="s">
        <v>199</v>
      </c>
      <c r="V10" s="89"/>
    </row>
    <row r="11" spans="1:22" ht="16.5" customHeight="1">
      <c r="A11" s="146" t="s">
        <v>226</v>
      </c>
      <c r="B11" s="147" t="s">
        <v>9</v>
      </c>
      <c r="C11" s="107"/>
      <c r="D11" s="107"/>
      <c r="E11" s="107"/>
      <c r="F11" s="107"/>
      <c r="G11" s="42"/>
      <c r="H11" s="42"/>
      <c r="I11" s="42"/>
      <c r="J11" s="42"/>
      <c r="K11" s="42"/>
      <c r="L11" s="42"/>
      <c r="M11" s="148"/>
      <c r="N11" s="106">
        <f>IF($A$5="","",HLOOKUP($A$5,RU,4,FALSE))</f>
        <v>4</v>
      </c>
      <c r="O11" s="109">
        <f t="shared" si="0"/>
        <v>36.36363636363637</v>
      </c>
      <c r="P11" s="110">
        <f t="shared" si="1"/>
        <v>8</v>
      </c>
      <c r="T11" s="89"/>
      <c r="U11" s="89" t="s">
        <v>200</v>
      </c>
      <c r="V11" s="89"/>
    </row>
    <row r="12" spans="1:16" ht="16.5" customHeight="1">
      <c r="A12" s="146" t="s">
        <v>227</v>
      </c>
      <c r="B12" s="147" t="s">
        <v>10</v>
      </c>
      <c r="C12" s="107"/>
      <c r="D12" s="107"/>
      <c r="E12" s="107"/>
      <c r="F12" s="107"/>
      <c r="G12" s="42"/>
      <c r="H12" s="42"/>
      <c r="I12" s="42"/>
      <c r="J12" s="42"/>
      <c r="K12" s="42"/>
      <c r="L12" s="42"/>
      <c r="M12" s="148"/>
      <c r="N12" s="106">
        <f>IF($A$5="","",HLOOKUP($A$5,RU,5,FALSE))</f>
        <v>9</v>
      </c>
      <c r="O12" s="109">
        <f t="shared" si="0"/>
        <v>81.81818181818181</v>
      </c>
      <c r="P12" s="110">
        <f t="shared" si="1"/>
        <v>1</v>
      </c>
    </row>
    <row r="13" spans="1:16" ht="16.5" customHeight="1">
      <c r="A13" s="146" t="s">
        <v>228</v>
      </c>
      <c r="B13" s="147" t="s">
        <v>11</v>
      </c>
      <c r="C13" s="107"/>
      <c r="D13" s="107"/>
      <c r="E13" s="107"/>
      <c r="F13" s="107"/>
      <c r="G13" s="42"/>
      <c r="H13" s="42"/>
      <c r="I13" s="42"/>
      <c r="J13" s="42"/>
      <c r="K13" s="42"/>
      <c r="L13" s="42"/>
      <c r="M13" s="148"/>
      <c r="N13" s="106">
        <f>IF($A$5="","",HLOOKUP($A$5,RU,6,FALSE))</f>
        <v>0</v>
      </c>
      <c r="O13" s="109">
        <f t="shared" si="0"/>
        <v>0</v>
      </c>
      <c r="P13" s="110">
        <f t="shared" si="1"/>
        <v>16</v>
      </c>
    </row>
    <row r="14" spans="1:16" ht="16.5" customHeight="1">
      <c r="A14" s="146" t="s">
        <v>229</v>
      </c>
      <c r="B14" s="147" t="s">
        <v>277</v>
      </c>
      <c r="C14" s="107"/>
      <c r="D14" s="107"/>
      <c r="E14" s="107"/>
      <c r="F14" s="107"/>
      <c r="G14" s="42"/>
      <c r="H14" s="42"/>
      <c r="I14" s="42"/>
      <c r="J14" s="42"/>
      <c r="K14" s="42"/>
      <c r="L14" s="42"/>
      <c r="M14" s="148"/>
      <c r="N14" s="106">
        <f>IF($A$5="","",HLOOKUP($A$5,RU,7,FALSE))</f>
        <v>0</v>
      </c>
      <c r="O14" s="109">
        <f t="shared" si="0"/>
        <v>0</v>
      </c>
      <c r="P14" s="110">
        <f t="shared" si="1"/>
        <v>16</v>
      </c>
    </row>
    <row r="15" spans="1:16" ht="16.5" customHeight="1">
      <c r="A15" s="149" t="s">
        <v>230</v>
      </c>
      <c r="B15" s="150" t="s">
        <v>21</v>
      </c>
      <c r="C15" s="125"/>
      <c r="D15" s="125"/>
      <c r="E15" s="125"/>
      <c r="F15" s="125"/>
      <c r="G15" s="43"/>
      <c r="H15" s="43"/>
      <c r="I15" s="43"/>
      <c r="J15" s="43"/>
      <c r="K15" s="43"/>
      <c r="L15" s="43"/>
      <c r="M15" s="151"/>
      <c r="N15" s="123">
        <f>IF($A$5="","",HLOOKUP($A$5,RU,8,FALSE))</f>
        <v>1</v>
      </c>
      <c r="O15" s="127">
        <f t="shared" si="0"/>
        <v>14.285714285714286</v>
      </c>
      <c r="P15" s="128">
        <f t="shared" si="1"/>
        <v>12</v>
      </c>
    </row>
    <row r="16" spans="1:16" ht="16.5" customHeight="1">
      <c r="A16" s="143" t="s">
        <v>231</v>
      </c>
      <c r="B16" s="144" t="s">
        <v>12</v>
      </c>
      <c r="C16" s="102"/>
      <c r="D16" s="102"/>
      <c r="E16" s="102"/>
      <c r="F16" s="102"/>
      <c r="G16" s="41"/>
      <c r="H16" s="41"/>
      <c r="I16" s="41"/>
      <c r="J16" s="41"/>
      <c r="K16" s="41"/>
      <c r="L16" s="41"/>
      <c r="M16" s="145"/>
      <c r="N16" s="101">
        <f>IF($A$5="","",HLOOKUP($A$5,RU,9,FALSE))</f>
        <v>8</v>
      </c>
      <c r="O16" s="104">
        <f t="shared" si="0"/>
        <v>80</v>
      </c>
      <c r="P16" s="105">
        <f t="shared" si="1"/>
        <v>2</v>
      </c>
    </row>
    <row r="17" spans="1:16" ht="16.5" customHeight="1">
      <c r="A17" s="146" t="s">
        <v>232</v>
      </c>
      <c r="B17" s="147" t="s">
        <v>13</v>
      </c>
      <c r="C17" s="107"/>
      <c r="D17" s="107"/>
      <c r="E17" s="107"/>
      <c r="F17" s="107"/>
      <c r="G17" s="42"/>
      <c r="H17" s="42"/>
      <c r="I17" s="42"/>
      <c r="J17" s="42"/>
      <c r="K17" s="42"/>
      <c r="L17" s="42"/>
      <c r="M17" s="148"/>
      <c r="N17" s="106">
        <f>IF($A$5="","",HLOOKUP($A$5,RU,10,FALSE))</f>
        <v>3</v>
      </c>
      <c r="O17" s="109">
        <f t="shared" si="0"/>
        <v>30</v>
      </c>
      <c r="P17" s="110">
        <f t="shared" si="1"/>
        <v>9</v>
      </c>
    </row>
    <row r="18" spans="1:16" ht="16.5" customHeight="1">
      <c r="A18" s="146" t="s">
        <v>233</v>
      </c>
      <c r="B18" s="147" t="s">
        <v>284</v>
      </c>
      <c r="C18" s="107"/>
      <c r="D18" s="107"/>
      <c r="E18" s="107"/>
      <c r="F18" s="107"/>
      <c r="G18" s="42"/>
      <c r="H18" s="42"/>
      <c r="I18" s="42"/>
      <c r="J18" s="42"/>
      <c r="K18" s="42"/>
      <c r="L18" s="42"/>
      <c r="M18" s="148"/>
      <c r="N18" s="106">
        <f>IF($A$5="","",HLOOKUP($A$5,RU,11,FALSE))</f>
        <v>6</v>
      </c>
      <c r="O18" s="109">
        <f t="shared" si="0"/>
        <v>66.66666666666667</v>
      </c>
      <c r="P18" s="110">
        <f t="shared" si="1"/>
        <v>4</v>
      </c>
    </row>
    <row r="19" spans="1:26" ht="16.5" customHeight="1">
      <c r="A19" s="146" t="s">
        <v>234</v>
      </c>
      <c r="B19" s="147" t="s">
        <v>279</v>
      </c>
      <c r="C19" s="107"/>
      <c r="D19" s="107"/>
      <c r="E19" s="107"/>
      <c r="F19" s="107"/>
      <c r="G19" s="42"/>
      <c r="H19" s="42"/>
      <c r="I19" s="42"/>
      <c r="J19" s="42"/>
      <c r="K19" s="42"/>
      <c r="L19" s="42"/>
      <c r="M19" s="148"/>
      <c r="N19" s="106">
        <f>IF($A$5="","",HLOOKUP($A$5,RU,12,FALSE))</f>
        <v>0</v>
      </c>
      <c r="O19" s="109">
        <f t="shared" si="0"/>
        <v>0</v>
      </c>
      <c r="P19" s="110">
        <f t="shared" si="1"/>
        <v>16</v>
      </c>
      <c r="V19" s="117"/>
      <c r="W19" s="117"/>
      <c r="X19" s="120"/>
      <c r="Y19" s="120"/>
      <c r="Z19" s="120"/>
    </row>
    <row r="20" spans="1:26" ht="16.5" customHeight="1">
      <c r="A20" s="146" t="s">
        <v>235</v>
      </c>
      <c r="B20" s="147" t="s">
        <v>14</v>
      </c>
      <c r="C20" s="107"/>
      <c r="D20" s="107"/>
      <c r="E20" s="107"/>
      <c r="F20" s="107"/>
      <c r="G20" s="42"/>
      <c r="H20" s="42"/>
      <c r="I20" s="42"/>
      <c r="J20" s="42"/>
      <c r="K20" s="42"/>
      <c r="L20" s="42"/>
      <c r="M20" s="148"/>
      <c r="N20" s="106">
        <f>IF($A$5="","",HLOOKUP($A$5,RU,13,FALSE))</f>
        <v>1</v>
      </c>
      <c r="O20" s="109">
        <f t="shared" si="0"/>
        <v>10</v>
      </c>
      <c r="P20" s="110">
        <f t="shared" si="1"/>
        <v>13</v>
      </c>
      <c r="V20" s="117"/>
      <c r="W20" s="117"/>
      <c r="X20" s="120"/>
      <c r="Y20" s="120"/>
      <c r="Z20" s="120"/>
    </row>
    <row r="21" spans="1:26" ht="16.5" customHeight="1">
      <c r="A21" s="146" t="s">
        <v>236</v>
      </c>
      <c r="B21" s="147" t="s">
        <v>15</v>
      </c>
      <c r="C21" s="107"/>
      <c r="D21" s="107"/>
      <c r="E21" s="107"/>
      <c r="F21" s="107"/>
      <c r="G21" s="42"/>
      <c r="H21" s="42"/>
      <c r="I21" s="42"/>
      <c r="J21" s="42"/>
      <c r="K21" s="42"/>
      <c r="L21" s="42"/>
      <c r="M21" s="148"/>
      <c r="N21" s="106">
        <f>IF($A$5="","",HLOOKUP($A$5,RU,14,FALSE))</f>
        <v>0</v>
      </c>
      <c r="O21" s="109">
        <f t="shared" si="0"/>
        <v>0</v>
      </c>
      <c r="P21" s="110">
        <f t="shared" si="1"/>
        <v>16</v>
      </c>
      <c r="V21" s="117"/>
      <c r="W21" s="117"/>
      <c r="X21" s="120"/>
      <c r="Y21" s="120"/>
      <c r="Z21" s="120"/>
    </row>
    <row r="22" spans="1:26" ht="16.5" customHeight="1">
      <c r="A22" s="146" t="s">
        <v>237</v>
      </c>
      <c r="B22" s="147" t="s">
        <v>280</v>
      </c>
      <c r="C22" s="107"/>
      <c r="D22" s="107"/>
      <c r="E22" s="107"/>
      <c r="F22" s="107"/>
      <c r="G22" s="42"/>
      <c r="H22" s="42"/>
      <c r="I22" s="42"/>
      <c r="J22" s="42"/>
      <c r="K22" s="42"/>
      <c r="L22" s="42"/>
      <c r="M22" s="148"/>
      <c r="N22" s="106">
        <f>IF($A$5="","",HLOOKUP($A$5,RU,15,FALSE))</f>
        <v>0</v>
      </c>
      <c r="O22" s="109">
        <f t="shared" si="0"/>
        <v>0</v>
      </c>
      <c r="P22" s="110">
        <f t="shared" si="1"/>
        <v>16</v>
      </c>
      <c r="V22" s="117"/>
      <c r="W22" s="117"/>
      <c r="X22" s="120"/>
      <c r="Y22" s="120"/>
      <c r="Z22" s="120"/>
    </row>
    <row r="23" spans="1:26" ht="16.5" customHeight="1">
      <c r="A23" s="146" t="s">
        <v>238</v>
      </c>
      <c r="B23" s="147" t="s">
        <v>281</v>
      </c>
      <c r="C23" s="107"/>
      <c r="D23" s="107"/>
      <c r="E23" s="107"/>
      <c r="F23" s="107"/>
      <c r="G23" s="42"/>
      <c r="H23" s="42"/>
      <c r="I23" s="42"/>
      <c r="J23" s="42"/>
      <c r="K23" s="42"/>
      <c r="L23" s="42"/>
      <c r="M23" s="148"/>
      <c r="N23" s="106">
        <f>IF($A$5="","",HLOOKUP($A$5,RU,16,FALSE))</f>
        <v>0</v>
      </c>
      <c r="O23" s="109">
        <f t="shared" si="0"/>
        <v>0</v>
      </c>
      <c r="P23" s="110">
        <f t="shared" si="1"/>
        <v>16</v>
      </c>
      <c r="V23" s="117"/>
      <c r="W23" s="117"/>
      <c r="X23" s="120"/>
      <c r="Y23" s="120"/>
      <c r="Z23" s="120"/>
    </row>
    <row r="24" spans="1:26" ht="16.5" customHeight="1">
      <c r="A24" s="149" t="s">
        <v>239</v>
      </c>
      <c r="B24" s="150" t="s">
        <v>16</v>
      </c>
      <c r="C24" s="125"/>
      <c r="D24" s="125"/>
      <c r="E24" s="125"/>
      <c r="F24" s="125"/>
      <c r="G24" s="43"/>
      <c r="H24" s="43"/>
      <c r="I24" s="43"/>
      <c r="J24" s="43"/>
      <c r="K24" s="43"/>
      <c r="L24" s="43"/>
      <c r="M24" s="151"/>
      <c r="N24" s="123">
        <f>IF($A$5="","",HLOOKUP($A$5,RU,17,FALSE))</f>
        <v>3</v>
      </c>
      <c r="O24" s="127">
        <f t="shared" si="0"/>
        <v>42.857142857142854</v>
      </c>
      <c r="P24" s="128">
        <f t="shared" si="1"/>
        <v>7</v>
      </c>
      <c r="V24" s="117"/>
      <c r="W24" s="117"/>
      <c r="X24" s="120"/>
      <c r="Y24" s="120"/>
      <c r="Z24" s="120"/>
    </row>
    <row r="25" spans="1:26" ht="16.5" customHeight="1">
      <c r="A25" s="152" t="s">
        <v>240</v>
      </c>
      <c r="B25" s="153" t="s">
        <v>17</v>
      </c>
      <c r="C25" s="154"/>
      <c r="D25" s="154"/>
      <c r="E25" s="154"/>
      <c r="F25" s="154"/>
      <c r="G25" s="155"/>
      <c r="H25" s="155"/>
      <c r="I25" s="155"/>
      <c r="J25" s="155"/>
      <c r="K25" s="155"/>
      <c r="L25" s="155"/>
      <c r="M25" s="156"/>
      <c r="N25" s="157">
        <f>IF($A$5="","",HLOOKUP($A$5,RU,18,FALSE))</f>
        <v>1</v>
      </c>
      <c r="O25" s="158">
        <f t="shared" si="0"/>
        <v>10</v>
      </c>
      <c r="P25" s="159">
        <f t="shared" si="1"/>
        <v>13</v>
      </c>
      <c r="V25" s="117"/>
      <c r="W25" s="117"/>
      <c r="X25" s="120"/>
      <c r="Y25" s="120"/>
      <c r="Z25" s="120"/>
    </row>
    <row r="26" spans="1:26" ht="16.5" customHeight="1">
      <c r="A26" s="146" t="s">
        <v>241</v>
      </c>
      <c r="B26" s="147" t="s">
        <v>18</v>
      </c>
      <c r="C26" s="107"/>
      <c r="D26" s="107"/>
      <c r="E26" s="107"/>
      <c r="F26" s="107"/>
      <c r="G26" s="42"/>
      <c r="H26" s="42"/>
      <c r="I26" s="42"/>
      <c r="J26" s="42"/>
      <c r="K26" s="42"/>
      <c r="L26" s="42"/>
      <c r="M26" s="148"/>
      <c r="N26" s="106">
        <f>IF($A$5="","",HLOOKUP($A$5,RU,19,FALSE))</f>
        <v>1</v>
      </c>
      <c r="O26" s="109">
        <f t="shared" si="0"/>
        <v>10</v>
      </c>
      <c r="P26" s="110">
        <f t="shared" si="1"/>
        <v>13</v>
      </c>
      <c r="V26" s="117"/>
      <c r="W26" s="117"/>
      <c r="X26" s="120"/>
      <c r="Y26" s="120"/>
      <c r="Z26" s="120"/>
    </row>
    <row r="27" spans="1:26" ht="16.5" customHeight="1">
      <c r="A27" s="146" t="s">
        <v>242</v>
      </c>
      <c r="B27" s="147" t="s">
        <v>19</v>
      </c>
      <c r="C27" s="107"/>
      <c r="D27" s="107"/>
      <c r="E27" s="107"/>
      <c r="F27" s="107"/>
      <c r="G27" s="42"/>
      <c r="H27" s="42"/>
      <c r="I27" s="42"/>
      <c r="J27" s="42"/>
      <c r="K27" s="42"/>
      <c r="L27" s="42"/>
      <c r="M27" s="148"/>
      <c r="N27" s="106">
        <f>IF($A$5="","",HLOOKUP($A$5,RU,20,FALSE))</f>
        <v>2</v>
      </c>
      <c r="O27" s="109">
        <f t="shared" si="0"/>
        <v>22.22222222222222</v>
      </c>
      <c r="P27" s="110">
        <f t="shared" si="1"/>
        <v>10</v>
      </c>
      <c r="V27" s="117"/>
      <c r="W27" s="117"/>
      <c r="X27" s="120"/>
      <c r="Y27" s="120"/>
      <c r="Z27" s="120"/>
    </row>
    <row r="28" spans="1:26" ht="16.5" customHeight="1">
      <c r="A28" s="146" t="s">
        <v>243</v>
      </c>
      <c r="B28" s="147" t="s">
        <v>20</v>
      </c>
      <c r="C28" s="107"/>
      <c r="D28" s="107"/>
      <c r="E28" s="107"/>
      <c r="F28" s="107"/>
      <c r="G28" s="42"/>
      <c r="H28" s="42"/>
      <c r="I28" s="42"/>
      <c r="J28" s="42"/>
      <c r="K28" s="42"/>
      <c r="L28" s="42"/>
      <c r="M28" s="148"/>
      <c r="N28" s="106">
        <f>IF($A$5="","",HLOOKUP($A$5,RU,21,FALSE))</f>
        <v>5</v>
      </c>
      <c r="O28" s="109">
        <f t="shared" si="0"/>
        <v>55.55555555555556</v>
      </c>
      <c r="P28" s="110">
        <f t="shared" si="1"/>
        <v>5</v>
      </c>
      <c r="V28" s="117"/>
      <c r="W28" s="117"/>
      <c r="X28" s="120"/>
      <c r="Y28" s="120"/>
      <c r="Z28" s="120"/>
    </row>
    <row r="29" spans="1:16" ht="16.5" customHeight="1">
      <c r="A29" s="149" t="s">
        <v>244</v>
      </c>
      <c r="B29" s="150" t="s">
        <v>283</v>
      </c>
      <c r="C29" s="125"/>
      <c r="D29" s="125"/>
      <c r="E29" s="125"/>
      <c r="F29" s="43"/>
      <c r="G29" s="43"/>
      <c r="H29" s="43"/>
      <c r="I29" s="43"/>
      <c r="J29" s="43"/>
      <c r="K29" s="43"/>
      <c r="L29" s="43"/>
      <c r="M29" s="126"/>
      <c r="N29" s="123">
        <f>IF($A$5="","",HLOOKUP($A$5,RU,22,FALSE))</f>
        <v>7</v>
      </c>
      <c r="O29" s="127">
        <f>N29*100/VLOOKUP(A29,AR,12,FALSE)</f>
        <v>77.77777777777777</v>
      </c>
      <c r="P29" s="128">
        <f t="shared" si="1"/>
        <v>3</v>
      </c>
    </row>
    <row r="30" spans="2:16" ht="8.25" customHeight="1">
      <c r="B30" s="133"/>
      <c r="C30" s="133"/>
      <c r="D30" s="133"/>
      <c r="E30" s="133"/>
      <c r="F30" s="133"/>
      <c r="N30" s="133"/>
      <c r="O30" s="133"/>
      <c r="P30" s="133"/>
    </row>
    <row r="31" spans="6:10" ht="16.5" customHeight="1">
      <c r="F31" s="160"/>
      <c r="G31" s="161"/>
      <c r="H31" s="161"/>
      <c r="I31" s="161"/>
      <c r="J31" s="133"/>
    </row>
    <row r="32" spans="1:13" ht="16.5" customHeight="1">
      <c r="A32" s="111" t="s">
        <v>183</v>
      </c>
      <c r="B32" s="112"/>
      <c r="C32" s="112"/>
      <c r="D32" s="112"/>
      <c r="E32" s="112"/>
      <c r="F32" s="112"/>
      <c r="G32" s="162"/>
      <c r="H32" s="162"/>
      <c r="I32" s="162"/>
      <c r="J32" s="162"/>
      <c r="K32" s="162"/>
      <c r="L32" s="162"/>
      <c r="M32" s="113"/>
    </row>
    <row r="33" spans="1:13" ht="16.5" customHeight="1">
      <c r="A33" s="115" t="s">
        <v>271</v>
      </c>
      <c r="B33" s="116" t="s">
        <v>257</v>
      </c>
      <c r="C33" s="117"/>
      <c r="D33" s="117"/>
      <c r="E33" s="117"/>
      <c r="F33" s="160"/>
      <c r="G33" s="161"/>
      <c r="H33" s="161"/>
      <c r="I33" s="161"/>
      <c r="J33" s="161"/>
      <c r="K33" s="161"/>
      <c r="L33" s="161"/>
      <c r="M33" s="163"/>
    </row>
    <row r="34" spans="1:13" ht="16.5" customHeight="1">
      <c r="A34" s="115" t="s">
        <v>272</v>
      </c>
      <c r="B34" s="116" t="s">
        <v>4</v>
      </c>
      <c r="C34" s="117"/>
      <c r="D34" s="117"/>
      <c r="E34" s="117"/>
      <c r="F34" s="160"/>
      <c r="G34" s="161"/>
      <c r="H34" s="161"/>
      <c r="I34" s="161"/>
      <c r="J34" s="161"/>
      <c r="K34" s="161"/>
      <c r="L34" s="161"/>
      <c r="M34" s="163"/>
    </row>
    <row r="35" spans="1:13" ht="16.5" customHeight="1">
      <c r="A35" s="164" t="s">
        <v>273</v>
      </c>
      <c r="B35" s="165" t="s">
        <v>6</v>
      </c>
      <c r="C35" s="130"/>
      <c r="D35" s="130"/>
      <c r="E35" s="130"/>
      <c r="F35" s="166"/>
      <c r="G35" s="167"/>
      <c r="H35" s="167"/>
      <c r="I35" s="167"/>
      <c r="J35" s="167"/>
      <c r="K35" s="167"/>
      <c r="L35" s="167"/>
      <c r="M35" s="168"/>
    </row>
    <row r="36" spans="1:10" ht="16.5" customHeight="1">
      <c r="A36" s="117"/>
      <c r="B36" s="117"/>
      <c r="C36" s="117"/>
      <c r="D36" s="117"/>
      <c r="E36" s="117"/>
      <c r="F36" s="160"/>
      <c r="G36" s="161"/>
      <c r="H36" s="161"/>
      <c r="I36" s="161"/>
      <c r="J36" s="133"/>
    </row>
    <row r="37" spans="1:10" ht="16.5" customHeight="1">
      <c r="A37" s="169"/>
      <c r="B37" s="160"/>
      <c r="C37" s="160"/>
      <c r="D37" s="160"/>
      <c r="E37" s="160"/>
      <c r="F37" s="160"/>
      <c r="G37" s="161"/>
      <c r="H37" s="161"/>
      <c r="I37" s="161"/>
      <c r="J37" s="133"/>
    </row>
    <row r="38" spans="1:10" ht="16.5" customHeight="1">
      <c r="A38" s="88" t="s">
        <v>1</v>
      </c>
      <c r="B38" s="160"/>
      <c r="C38" s="160"/>
      <c r="D38" s="160"/>
      <c r="E38" s="160"/>
      <c r="F38" s="160"/>
      <c r="G38" s="161"/>
      <c r="H38" s="161"/>
      <c r="I38" s="88" t="s">
        <v>2</v>
      </c>
      <c r="J38" s="133"/>
    </row>
    <row r="39" spans="1:10" ht="16.5" customHeight="1">
      <c r="A39" s="169"/>
      <c r="B39" s="160"/>
      <c r="C39" s="160"/>
      <c r="D39" s="160"/>
      <c r="E39" s="160"/>
      <c r="F39" s="160"/>
      <c r="G39" s="161"/>
      <c r="H39" s="161"/>
      <c r="I39" s="161"/>
      <c r="J39" s="133"/>
    </row>
    <row r="40" spans="1:10" ht="16.5" customHeight="1">
      <c r="A40" s="169"/>
      <c r="B40" s="160"/>
      <c r="C40" s="160"/>
      <c r="D40" s="160"/>
      <c r="E40" s="160"/>
      <c r="F40" s="160"/>
      <c r="G40" s="161"/>
      <c r="H40" s="161"/>
      <c r="I40" s="161"/>
      <c r="J40" s="133"/>
    </row>
    <row r="41" spans="1:10" ht="16.5" customHeight="1">
      <c r="A41" s="169"/>
      <c r="B41" s="160"/>
      <c r="C41" s="160"/>
      <c r="D41" s="160"/>
      <c r="E41" s="160"/>
      <c r="F41" s="160"/>
      <c r="G41" s="161"/>
      <c r="H41" s="161"/>
      <c r="I41" s="161"/>
      <c r="J41" s="133"/>
    </row>
    <row r="42" spans="1:10" ht="16.5" customHeight="1">
      <c r="A42" s="169"/>
      <c r="B42" s="160"/>
      <c r="C42" s="160"/>
      <c r="D42" s="160"/>
      <c r="E42" s="160"/>
      <c r="F42" s="160"/>
      <c r="G42" s="161"/>
      <c r="H42" s="161"/>
      <c r="I42" s="161"/>
      <c r="J42" s="133"/>
    </row>
    <row r="43" spans="1:10" ht="16.5" customHeight="1">
      <c r="A43" s="169"/>
      <c r="B43" s="160"/>
      <c r="C43" s="160"/>
      <c r="D43" s="160"/>
      <c r="E43" s="160"/>
      <c r="F43" s="160"/>
      <c r="G43" s="161"/>
      <c r="H43" s="161"/>
      <c r="I43" s="161"/>
      <c r="J43" s="133"/>
    </row>
    <row r="44" spans="1:10" ht="16.5" customHeight="1">
      <c r="A44" s="169"/>
      <c r="B44" s="160"/>
      <c r="C44" s="160"/>
      <c r="D44" s="160"/>
      <c r="E44" s="160"/>
      <c r="F44" s="160"/>
      <c r="G44" s="161"/>
      <c r="H44" s="161"/>
      <c r="I44" s="161"/>
      <c r="J44" s="133"/>
    </row>
    <row r="45" spans="1:10" ht="16.5" customHeight="1">
      <c r="A45" s="169"/>
      <c r="B45" s="160"/>
      <c r="C45" s="160"/>
      <c r="D45" s="160"/>
      <c r="E45" s="160"/>
      <c r="F45" s="160"/>
      <c r="G45" s="161"/>
      <c r="H45" s="161"/>
      <c r="I45" s="161"/>
      <c r="J45" s="133"/>
    </row>
    <row r="46" spans="1:10" ht="16.5" customHeight="1">
      <c r="A46" s="169"/>
      <c r="B46" s="160"/>
      <c r="C46" s="160"/>
      <c r="D46" s="160"/>
      <c r="E46" s="160"/>
      <c r="F46" s="160"/>
      <c r="G46" s="161"/>
      <c r="H46" s="161"/>
      <c r="I46" s="161"/>
      <c r="J46" s="133"/>
    </row>
    <row r="47" spans="1:10" ht="16.5" customHeight="1">
      <c r="A47" s="169"/>
      <c r="B47" s="160"/>
      <c r="C47" s="160"/>
      <c r="D47" s="160"/>
      <c r="E47" s="160"/>
      <c r="F47" s="160"/>
      <c r="G47" s="161"/>
      <c r="H47" s="161"/>
      <c r="I47" s="161"/>
      <c r="J47" s="133"/>
    </row>
    <row r="48" spans="1:10" ht="16.5" customHeight="1">
      <c r="A48" s="169"/>
      <c r="B48" s="160"/>
      <c r="C48" s="160"/>
      <c r="D48" s="160"/>
      <c r="E48" s="160"/>
      <c r="F48" s="160"/>
      <c r="G48" s="161"/>
      <c r="H48" s="161"/>
      <c r="I48" s="161"/>
      <c r="J48" s="133"/>
    </row>
    <row r="49" spans="1:10" ht="16.5" customHeight="1">
      <c r="A49" s="169"/>
      <c r="B49" s="160"/>
      <c r="C49" s="160"/>
      <c r="D49" s="160"/>
      <c r="E49" s="160"/>
      <c r="F49" s="160"/>
      <c r="G49" s="161"/>
      <c r="H49" s="161"/>
      <c r="I49" s="161"/>
      <c r="J49" s="133"/>
    </row>
    <row r="50" spans="1:10" ht="16.5" customHeight="1">
      <c r="A50" s="169"/>
      <c r="B50" s="160"/>
      <c r="C50" s="160"/>
      <c r="D50" s="160"/>
      <c r="E50" s="160"/>
      <c r="F50" s="160"/>
      <c r="G50" s="161"/>
      <c r="H50" s="161"/>
      <c r="I50" s="161"/>
      <c r="J50" s="133"/>
    </row>
    <row r="51" spans="1:10" ht="16.5" customHeight="1">
      <c r="A51" s="169"/>
      <c r="B51" s="160"/>
      <c r="C51" s="160"/>
      <c r="D51" s="160"/>
      <c r="E51" s="160"/>
      <c r="F51" s="160"/>
      <c r="G51" s="161"/>
      <c r="H51" s="161"/>
      <c r="I51" s="161"/>
      <c r="J51" s="133"/>
    </row>
    <row r="52" spans="1:10" ht="16.5" customHeight="1">
      <c r="A52" s="169"/>
      <c r="B52" s="160"/>
      <c r="C52" s="160"/>
      <c r="D52" s="160"/>
      <c r="E52" s="160"/>
      <c r="F52" s="160"/>
      <c r="G52" s="161"/>
      <c r="H52" s="161"/>
      <c r="I52" s="161"/>
      <c r="J52" s="133"/>
    </row>
    <row r="53" spans="1:10" ht="16.5" customHeight="1">
      <c r="A53" s="169"/>
      <c r="B53" s="160"/>
      <c r="C53" s="160"/>
      <c r="D53" s="160"/>
      <c r="E53" s="160"/>
      <c r="F53" s="160"/>
      <c r="G53" s="161"/>
      <c r="H53" s="161"/>
      <c r="I53" s="161"/>
      <c r="J53" s="133"/>
    </row>
    <row r="54" spans="1:10" ht="16.5" customHeight="1">
      <c r="A54" s="169"/>
      <c r="B54" s="160"/>
      <c r="C54" s="160"/>
      <c r="D54" s="160"/>
      <c r="E54" s="160"/>
      <c r="F54" s="160"/>
      <c r="G54" s="161"/>
      <c r="H54" s="161"/>
      <c r="I54" s="161"/>
      <c r="J54" s="133"/>
    </row>
    <row r="55" spans="1:10" ht="16.5" customHeight="1">
      <c r="A55" s="88" t="s">
        <v>3</v>
      </c>
      <c r="B55" s="160"/>
      <c r="C55" s="160"/>
      <c r="D55" s="160"/>
      <c r="E55" s="160"/>
      <c r="F55" s="160"/>
      <c r="G55" s="161"/>
      <c r="H55" s="161"/>
      <c r="I55" s="161"/>
      <c r="J55" s="133"/>
    </row>
    <row r="56" spans="1:10" ht="16.5" customHeight="1">
      <c r="A56" s="169"/>
      <c r="B56" s="160"/>
      <c r="C56" s="160"/>
      <c r="D56" s="160"/>
      <c r="E56" s="160"/>
      <c r="F56" s="160"/>
      <c r="G56" s="161"/>
      <c r="H56" s="161"/>
      <c r="I56" s="161"/>
      <c r="J56" s="133"/>
    </row>
    <row r="57" spans="1:10" ht="16.5" customHeight="1">
      <c r="A57" s="169"/>
      <c r="B57" s="160"/>
      <c r="C57" s="160"/>
      <c r="D57" s="160"/>
      <c r="E57" s="160"/>
      <c r="F57" s="160"/>
      <c r="G57" s="161"/>
      <c r="H57" s="161"/>
      <c r="I57" s="161"/>
      <c r="J57" s="133"/>
    </row>
    <row r="58" spans="1:10" ht="16.5" customHeight="1">
      <c r="A58" s="169"/>
      <c r="B58" s="160"/>
      <c r="C58" s="160"/>
      <c r="D58" s="160"/>
      <c r="E58" s="160"/>
      <c r="F58" s="160"/>
      <c r="G58" s="161"/>
      <c r="H58" s="161"/>
      <c r="I58" s="161"/>
      <c r="J58" s="133"/>
    </row>
    <row r="59" spans="1:10" ht="16.5" customHeight="1">
      <c r="A59" s="169"/>
      <c r="B59" s="160"/>
      <c r="C59" s="160"/>
      <c r="D59" s="160"/>
      <c r="E59" s="160"/>
      <c r="F59" s="160"/>
      <c r="G59" s="161"/>
      <c r="H59" s="161"/>
      <c r="I59" s="161"/>
      <c r="J59" s="133"/>
    </row>
    <row r="60" spans="1:10" ht="16.5" customHeight="1">
      <c r="A60" s="169"/>
      <c r="B60" s="160"/>
      <c r="C60" s="160"/>
      <c r="D60" s="160"/>
      <c r="E60" s="160"/>
      <c r="F60" s="160"/>
      <c r="G60" s="161"/>
      <c r="H60" s="161"/>
      <c r="I60" s="161"/>
      <c r="J60" s="133"/>
    </row>
    <row r="61" spans="1:10" ht="16.5" customHeight="1">
      <c r="A61" s="169"/>
      <c r="B61" s="160"/>
      <c r="C61" s="160"/>
      <c r="D61" s="160"/>
      <c r="E61" s="160"/>
      <c r="F61" s="160"/>
      <c r="G61" s="161"/>
      <c r="H61" s="161"/>
      <c r="I61" s="161"/>
      <c r="J61" s="133"/>
    </row>
    <row r="62" spans="1:10" ht="16.5" customHeight="1">
      <c r="A62" s="169"/>
      <c r="B62" s="160"/>
      <c r="C62" s="160"/>
      <c r="D62" s="160"/>
      <c r="E62" s="160"/>
      <c r="F62" s="160"/>
      <c r="G62" s="161"/>
      <c r="H62" s="161"/>
      <c r="I62" s="161"/>
      <c r="J62" s="133"/>
    </row>
    <row r="63" spans="1:10" ht="16.5" customHeight="1">
      <c r="A63" s="169"/>
      <c r="B63" s="160"/>
      <c r="C63" s="160"/>
      <c r="D63" s="160"/>
      <c r="E63" s="160"/>
      <c r="F63" s="160"/>
      <c r="G63" s="161"/>
      <c r="H63" s="161"/>
      <c r="I63" s="161"/>
      <c r="J63" s="133"/>
    </row>
    <row r="64" spans="1:10" ht="16.5" customHeight="1">
      <c r="A64" s="169"/>
      <c r="B64" s="160"/>
      <c r="C64" s="160"/>
      <c r="D64" s="160"/>
      <c r="E64" s="160"/>
      <c r="F64" s="160"/>
      <c r="G64" s="161"/>
      <c r="H64" s="161"/>
      <c r="I64" s="161"/>
      <c r="J64" s="133"/>
    </row>
    <row r="65" spans="1:10" ht="16.5" customHeight="1">
      <c r="A65" s="169"/>
      <c r="B65" s="160"/>
      <c r="C65" s="160"/>
      <c r="D65" s="160"/>
      <c r="E65" s="160"/>
      <c r="F65" s="160"/>
      <c r="G65" s="161"/>
      <c r="H65" s="161"/>
      <c r="I65" s="161"/>
      <c r="J65" s="133"/>
    </row>
    <row r="66" spans="1:10" ht="16.5" customHeight="1">
      <c r="A66" s="169"/>
      <c r="B66" s="160"/>
      <c r="C66" s="160"/>
      <c r="D66" s="160"/>
      <c r="E66" s="160"/>
      <c r="F66" s="160"/>
      <c r="G66" s="161"/>
      <c r="H66" s="161"/>
      <c r="I66" s="161"/>
      <c r="J66" s="133"/>
    </row>
    <row r="67" spans="1:10" ht="16.5" customHeight="1">
      <c r="A67" s="169"/>
      <c r="B67" s="160"/>
      <c r="C67" s="160"/>
      <c r="D67" s="160"/>
      <c r="E67" s="160"/>
      <c r="F67" s="160"/>
      <c r="G67" s="161"/>
      <c r="H67" s="161"/>
      <c r="I67" s="161"/>
      <c r="J67" s="133"/>
    </row>
    <row r="68" spans="1:10" ht="16.5" customHeight="1">
      <c r="A68" s="169"/>
      <c r="B68" s="160"/>
      <c r="C68" s="160"/>
      <c r="D68" s="160"/>
      <c r="E68" s="160"/>
      <c r="F68" s="160"/>
      <c r="G68" s="161"/>
      <c r="H68" s="161"/>
      <c r="I68" s="161"/>
      <c r="J68" s="133"/>
    </row>
    <row r="69" spans="1:10" ht="16.5" customHeight="1">
      <c r="A69" s="169"/>
      <c r="B69" s="160"/>
      <c r="C69" s="160"/>
      <c r="D69" s="160"/>
      <c r="E69" s="160"/>
      <c r="F69" s="160"/>
      <c r="G69" s="161"/>
      <c r="H69" s="161"/>
      <c r="I69" s="161"/>
      <c r="J69" s="133"/>
    </row>
    <row r="70" spans="1:10" ht="16.5" customHeight="1">
      <c r="A70" s="169"/>
      <c r="B70" s="160"/>
      <c r="C70" s="160"/>
      <c r="D70" s="160"/>
      <c r="E70" s="160"/>
      <c r="F70" s="160"/>
      <c r="G70" s="161"/>
      <c r="H70" s="161"/>
      <c r="I70" s="161"/>
      <c r="J70" s="133"/>
    </row>
  </sheetData>
  <mergeCells count="1">
    <mergeCell ref="B5:P6"/>
  </mergeCells>
  <conditionalFormatting sqref="A9:M29">
    <cfRule type="expression" priority="1" dxfId="1" stopIfTrue="1">
      <formula>$P9&lt;=5</formula>
    </cfRule>
  </conditionalFormatting>
  <dataValidations count="1">
    <dataValidation type="list" showInputMessage="1" showErrorMessage="1" sqref="A5">
      <formula1>$U$2:$U$11</formula1>
    </dataValidation>
  </dataValidations>
  <printOptions/>
  <pageMargins left="0.54" right="0.33" top="0.56" bottom="0.87" header="0.35" footer="0.5"/>
  <pageSetup horizontalDpi="360" verticalDpi="360" orientation="portrait" paperSize="9" r:id="rId2"/>
  <headerFooter alignWithMargins="0">
    <oddFooter>&amp;L&amp;8Analisi dei dati a cura di Sante Velo&amp;C&amp;8&amp;F [&amp;A]&amp;R&amp;8Pagina &amp;P di &amp;N</oddFooter>
  </headerFooter>
  <rowBreaks count="1" manualBreakCount="1">
    <brk id="3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1"/>
  <sheetViews>
    <sheetView showGridLines="0" showRowColHeaders="0" workbookViewId="0" topLeftCell="A1">
      <selection activeCell="AB19" sqref="AB19"/>
    </sheetView>
  </sheetViews>
  <sheetFormatPr defaultColWidth="9.140625" defaultRowHeight="12.75"/>
  <cols>
    <col min="1" max="23" width="5.57421875" style="10" customWidth="1"/>
    <col min="24" max="24" width="2.140625" style="10" customWidth="1"/>
    <col min="25" max="27" width="0" style="10" hidden="1" customWidth="1"/>
    <col min="28" max="16384" width="9.140625" style="10" customWidth="1"/>
  </cols>
  <sheetData>
    <row r="1" ht="15.75">
      <c r="A1" s="9" t="s">
        <v>40</v>
      </c>
    </row>
    <row r="3" ht="15.75">
      <c r="A3" s="11" t="s">
        <v>38</v>
      </c>
    </row>
    <row r="4" ht="15.75">
      <c r="A4" s="12"/>
    </row>
    <row r="5" spans="1:7" ht="19.5" customHeight="1">
      <c r="A5" s="182" t="s">
        <v>163</v>
      </c>
      <c r="B5" s="183"/>
      <c r="C5" s="183"/>
      <c r="D5" s="183"/>
      <c r="E5" s="184"/>
      <c r="G5" s="13">
        <f>IF(A5="","",IF(Y7="a","Provincia",IF(Y7="b","Tipo di Istituto",IF(Y7="c","Età",IF(Y7="d","Genere","")))))</f>
      </c>
    </row>
    <row r="7" spans="1:25" ht="15" customHeight="1">
      <c r="A7" s="14" t="s">
        <v>71</v>
      </c>
      <c r="B7" s="15" t="s">
        <v>72</v>
      </c>
      <c r="C7" s="15" t="s">
        <v>73</v>
      </c>
      <c r="D7" s="15" t="s">
        <v>74</v>
      </c>
      <c r="E7" s="15" t="s">
        <v>75</v>
      </c>
      <c r="F7" s="15" t="s">
        <v>76</v>
      </c>
      <c r="G7" s="15" t="s">
        <v>77</v>
      </c>
      <c r="H7" s="15" t="s">
        <v>78</v>
      </c>
      <c r="I7" s="15" t="s">
        <v>79</v>
      </c>
      <c r="J7" s="15" t="s">
        <v>80</v>
      </c>
      <c r="K7" s="15" t="s">
        <v>81</v>
      </c>
      <c r="L7" s="15" t="s">
        <v>82</v>
      </c>
      <c r="M7" s="15" t="s">
        <v>83</v>
      </c>
      <c r="N7" s="15" t="s">
        <v>84</v>
      </c>
      <c r="O7" s="15" t="s">
        <v>85</v>
      </c>
      <c r="P7" s="15" t="s">
        <v>86</v>
      </c>
      <c r="Q7" s="15" t="s">
        <v>87</v>
      </c>
      <c r="R7" s="15" t="s">
        <v>88</v>
      </c>
      <c r="S7" s="15" t="s">
        <v>89</v>
      </c>
      <c r="T7" s="15" t="s">
        <v>90</v>
      </c>
      <c r="U7" s="15" t="s">
        <v>91</v>
      </c>
      <c r="V7" s="15" t="s">
        <v>92</v>
      </c>
      <c r="W7" s="16" t="s">
        <v>93</v>
      </c>
      <c r="Y7" s="17" t="str">
        <f>VLOOKUP(A5,R_1,3,FALSE)</f>
        <v>z</v>
      </c>
    </row>
    <row r="8" spans="1:27" s="21" customFormat="1" ht="15" customHeight="1">
      <c r="A8" s="18">
        <f>IF($A$5="","",VLOOKUP(VLOOKUP($A$5,R_1,2,FALSE),B_1,2,FALSE))</f>
        <v>65.98870056497175</v>
      </c>
      <c r="B8" s="19">
        <f>IF($A$5="","",VLOOKUP(VLOOKUP($A$5,R_1,2,FALSE),B_1,3,FALSE))</f>
        <v>50.9009009009009</v>
      </c>
      <c r="C8" s="19">
        <f>IF($A$5="","",VLOOKUP(VLOOKUP($A$5,R_1,2,FALSE),B_1,4,FALSE))</f>
        <v>66.10360360360359</v>
      </c>
      <c r="D8" s="19">
        <f>IF($A$5="","",VLOOKUP(VLOOKUP($A$5,R_1,2,FALSE),B_1,5,FALSE))</f>
        <v>49.774774774774784</v>
      </c>
      <c r="E8" s="19">
        <f>IF($A$5="","",VLOOKUP(VLOOKUP($A$5,R_1,2,FALSE),B_1,6,FALSE))</f>
        <v>64.3018018018018</v>
      </c>
      <c r="F8" s="19">
        <f>IF($A$5="","",VLOOKUP(VLOOKUP($A$5,R_1,2,FALSE),B_1,7,FALSE))</f>
        <v>70.04504504504504</v>
      </c>
      <c r="G8" s="19">
        <f>IF($A$5="","",VLOOKUP(VLOOKUP($A$5,R_1,2,FALSE),B_1,8,FALSE))</f>
        <v>52.70270270270271</v>
      </c>
      <c r="H8" s="19">
        <f>IF($A$5="","",VLOOKUP(VLOOKUP($A$5,R_1,2,FALSE),B_1,9,FALSE))</f>
        <v>64.52702702702703</v>
      </c>
      <c r="I8" s="19">
        <f>IF($A$5="","",VLOOKUP(VLOOKUP($A$5,R_1,2,FALSE),B_1,10,FALSE))</f>
        <v>46.440677966101696</v>
      </c>
      <c r="J8" s="19">
        <f>IF($A$5="","",VLOOKUP(VLOOKUP($A$5,R_1,2,FALSE),B_1,11,FALSE))</f>
        <v>68.01801801801801</v>
      </c>
      <c r="K8" s="19">
        <f>IF($A$5="","",VLOOKUP(VLOOKUP($A$5,R_1,2,FALSE),B_1,12,FALSE))</f>
        <v>56.8361581920904</v>
      </c>
      <c r="L8" s="19">
        <f>IF($A$5="","",VLOOKUP(VLOOKUP($A$5,R_1,2,FALSE),B_1,13,FALSE))</f>
        <v>61.26126126126126</v>
      </c>
      <c r="M8" s="19">
        <f>IF($A$5="","",VLOOKUP(VLOOKUP($A$5,R_1,2,FALSE),B_1,14,FALSE))</f>
        <v>58.10810810810812</v>
      </c>
      <c r="N8" s="19">
        <f>IF($A$5="","",VLOOKUP(VLOOKUP($A$5,R_1,2,FALSE),B_1,15,FALSE))</f>
        <v>47.97297297297297</v>
      </c>
      <c r="O8" s="19">
        <f>IF($A$5="","",VLOOKUP(VLOOKUP($A$5,R_1,2,FALSE),B_1,16,FALSE))</f>
        <v>69.36936936936938</v>
      </c>
      <c r="P8" s="19">
        <f>IF($A$5="","",VLOOKUP(VLOOKUP($A$5,R_1,2,FALSE),B_1,17,FALSE))</f>
        <v>54.39189189189188</v>
      </c>
      <c r="Q8" s="19">
        <f>IF($A$5="","",VLOOKUP(VLOOKUP($A$5,R_1,2,FALSE),B_1,18,FALSE))</f>
        <v>68.58108108108108</v>
      </c>
      <c r="R8" s="19">
        <f>IF($A$5="","",VLOOKUP(VLOOKUP($A$5,R_1,2,FALSE),B_1,19,FALSE))</f>
        <v>53.603603603603595</v>
      </c>
      <c r="S8" s="19">
        <f>IF($A$5="","",VLOOKUP(VLOOKUP($A$5,R_1,2,FALSE),B_1,20,FALSE))</f>
        <v>54.166666666666664</v>
      </c>
      <c r="T8" s="19">
        <f>IF($A$5="","",VLOOKUP(VLOOKUP($A$5,R_1,2,FALSE),B_1,21,FALSE))</f>
        <v>54.166666666666664</v>
      </c>
      <c r="U8" s="19">
        <f>IF($A$5="","",VLOOKUP(VLOOKUP($A$5,R_1,2,FALSE),B_1,22,FALSE))</f>
        <v>66.21621621621621</v>
      </c>
      <c r="V8" s="19">
        <f>IF($A$5="","",VLOOKUP(VLOOKUP($A$5,R_1,2,FALSE),B_1,23,FALSE))</f>
        <v>63.954802259887</v>
      </c>
      <c r="W8" s="20">
        <f>IF($A$5="","",VLOOKUP(VLOOKUP($A$5,R_1,2,FALSE),B_1,24,FALSE))</f>
        <v>59.096045197740104</v>
      </c>
      <c r="Y8" s="21" t="s">
        <v>163</v>
      </c>
      <c r="Z8" s="21" t="s">
        <v>156</v>
      </c>
      <c r="AA8" s="21" t="s">
        <v>164</v>
      </c>
    </row>
    <row r="9" spans="1:27" ht="15" customHeight="1">
      <c r="A9" s="22">
        <f aca="true" t="shared" si="0" ref="A9:W9">IF($A$5="Veneto","",A8-A41)</f>
      </c>
      <c r="B9" s="23">
        <f t="shared" si="0"/>
      </c>
      <c r="C9" s="23">
        <f t="shared" si="0"/>
      </c>
      <c r="D9" s="23">
        <f t="shared" si="0"/>
      </c>
      <c r="E9" s="23">
        <f t="shared" si="0"/>
      </c>
      <c r="F9" s="23">
        <f t="shared" si="0"/>
      </c>
      <c r="G9" s="23">
        <f t="shared" si="0"/>
      </c>
      <c r="H9" s="23">
        <f t="shared" si="0"/>
      </c>
      <c r="I9" s="23">
        <f t="shared" si="0"/>
      </c>
      <c r="J9" s="23">
        <f t="shared" si="0"/>
      </c>
      <c r="K9" s="23">
        <f t="shared" si="0"/>
      </c>
      <c r="L9" s="23">
        <f t="shared" si="0"/>
      </c>
      <c r="M9" s="23">
        <f t="shared" si="0"/>
      </c>
      <c r="N9" s="23">
        <f t="shared" si="0"/>
      </c>
      <c r="O9" s="23">
        <f t="shared" si="0"/>
      </c>
      <c r="P9" s="23">
        <f t="shared" si="0"/>
      </c>
      <c r="Q9" s="23">
        <f t="shared" si="0"/>
      </c>
      <c r="R9" s="23">
        <f t="shared" si="0"/>
      </c>
      <c r="S9" s="23">
        <f t="shared" si="0"/>
      </c>
      <c r="T9" s="23">
        <f t="shared" si="0"/>
      </c>
      <c r="U9" s="23">
        <f t="shared" si="0"/>
      </c>
      <c r="V9" s="23">
        <f t="shared" si="0"/>
      </c>
      <c r="W9" s="24">
        <f t="shared" si="0"/>
      </c>
      <c r="Y9" s="10" t="s">
        <v>165</v>
      </c>
      <c r="Z9" s="2" t="s">
        <v>101</v>
      </c>
      <c r="AA9" s="10" t="s">
        <v>166</v>
      </c>
    </row>
    <row r="10" spans="25:27" ht="6.75" customHeight="1">
      <c r="Y10" s="10" t="s">
        <v>167</v>
      </c>
      <c r="Z10" s="2" t="s">
        <v>102</v>
      </c>
      <c r="AA10" s="10" t="s">
        <v>166</v>
      </c>
    </row>
    <row r="11" spans="1:27" ht="12.75">
      <c r="A11" s="10">
        <f>IF($A$5="Veneto","","Valori positivi indicano un punteggio medio superiore a quello regionale, valori negativi indicano un punteggio medio inferiore")</f>
      </c>
      <c r="Y11" s="10" t="s">
        <v>168</v>
      </c>
      <c r="Z11" s="2" t="s">
        <v>103</v>
      </c>
      <c r="AA11" s="10" t="s">
        <v>166</v>
      </c>
    </row>
    <row r="12" spans="25:27" ht="12.75">
      <c r="Y12" s="10" t="s">
        <v>169</v>
      </c>
      <c r="Z12" s="2" t="s">
        <v>104</v>
      </c>
      <c r="AA12" s="10" t="s">
        <v>166</v>
      </c>
    </row>
    <row r="13" spans="25:27" ht="12.75">
      <c r="Y13" s="10" t="s">
        <v>170</v>
      </c>
      <c r="Z13" s="2" t="s">
        <v>105</v>
      </c>
      <c r="AA13" s="10" t="s">
        <v>166</v>
      </c>
    </row>
    <row r="14" spans="25:27" ht="12.75">
      <c r="Y14" s="10" t="s">
        <v>171</v>
      </c>
      <c r="Z14" s="2" t="s">
        <v>106</v>
      </c>
      <c r="AA14" s="10" t="s">
        <v>166</v>
      </c>
    </row>
    <row r="15" spans="25:27" ht="12.75">
      <c r="Y15" s="10" t="s">
        <v>24</v>
      </c>
      <c r="Z15" s="2" t="s">
        <v>157</v>
      </c>
      <c r="AA15" s="10" t="s">
        <v>172</v>
      </c>
    </row>
    <row r="16" spans="25:27" ht="12.75">
      <c r="Y16" s="10" t="s">
        <v>25</v>
      </c>
      <c r="Z16" s="2" t="s">
        <v>158</v>
      </c>
      <c r="AA16" s="10" t="s">
        <v>172</v>
      </c>
    </row>
    <row r="17" spans="25:27" ht="12.75">
      <c r="Y17" s="10" t="s">
        <v>26</v>
      </c>
      <c r="Z17" s="2" t="s">
        <v>159</v>
      </c>
      <c r="AA17" s="10" t="s">
        <v>172</v>
      </c>
    </row>
    <row r="18" spans="25:27" ht="12.75">
      <c r="Y18" s="10" t="s">
        <v>27</v>
      </c>
      <c r="Z18" s="2" t="s">
        <v>160</v>
      </c>
      <c r="AA18" s="10" t="s">
        <v>172</v>
      </c>
    </row>
    <row r="19" spans="25:27" ht="12.75">
      <c r="Y19" s="10" t="s">
        <v>28</v>
      </c>
      <c r="Z19" s="2" t="s">
        <v>161</v>
      </c>
      <c r="AA19" s="10" t="s">
        <v>172</v>
      </c>
    </row>
    <row r="20" spans="25:27" ht="12.75">
      <c r="Y20" s="10" t="s">
        <v>173</v>
      </c>
      <c r="Z20" s="2" t="s">
        <v>94</v>
      </c>
      <c r="AA20" s="10" t="s">
        <v>174</v>
      </c>
    </row>
    <row r="21" spans="25:27" ht="12.75">
      <c r="Y21" s="10" t="s">
        <v>162</v>
      </c>
      <c r="Z21" s="2" t="s">
        <v>95</v>
      </c>
      <c r="AA21" s="10" t="s">
        <v>174</v>
      </c>
    </row>
    <row r="40" ht="12.75" hidden="1"/>
    <row r="41" spans="1:23" ht="12.75" hidden="1">
      <c r="A41" s="21">
        <v>65.98870056497175</v>
      </c>
      <c r="B41" s="21">
        <v>50.9009009009009</v>
      </c>
      <c r="C41" s="21">
        <v>66.10360360360359</v>
      </c>
      <c r="D41" s="21">
        <v>49.774774774774784</v>
      </c>
      <c r="E41" s="21">
        <v>64.3018018018018</v>
      </c>
      <c r="F41" s="21">
        <v>70.04504504504504</v>
      </c>
      <c r="G41" s="21">
        <v>52.70270270270271</v>
      </c>
      <c r="H41" s="21">
        <v>64.52702702702703</v>
      </c>
      <c r="I41" s="21">
        <v>46.440677966101696</v>
      </c>
      <c r="J41" s="21">
        <v>68.01801801801801</v>
      </c>
      <c r="K41" s="21">
        <v>56.8361581920904</v>
      </c>
      <c r="L41" s="21">
        <v>61.26126126126126</v>
      </c>
      <c r="M41" s="21">
        <v>58.10810810810812</v>
      </c>
      <c r="N41" s="21">
        <v>47.97297297297297</v>
      </c>
      <c r="O41" s="21">
        <v>69.36936936936938</v>
      </c>
      <c r="P41" s="21">
        <v>54.39189189189188</v>
      </c>
      <c r="Q41" s="21">
        <v>68.58108108108108</v>
      </c>
      <c r="R41" s="21">
        <v>53.603603603603595</v>
      </c>
      <c r="S41" s="21">
        <v>54.166666666666664</v>
      </c>
      <c r="T41" s="21">
        <v>54.166666666666664</v>
      </c>
      <c r="U41" s="21">
        <v>66.21621621621621</v>
      </c>
      <c r="V41" s="21">
        <v>63.954802259887</v>
      </c>
      <c r="W41" s="21">
        <v>59.096045197740104</v>
      </c>
    </row>
    <row r="42" ht="12.75" hidden="1"/>
  </sheetData>
  <mergeCells count="1">
    <mergeCell ref="A5:E5"/>
  </mergeCells>
  <conditionalFormatting sqref="A9:W9">
    <cfRule type="cellIs" priority="1" dxfId="2" operator="lessThan" stopIfTrue="1">
      <formula>0</formula>
    </cfRule>
    <cfRule type="cellIs" priority="2" dxfId="0" operator="greaterThan" stopIfTrue="1">
      <formula>0</formula>
    </cfRule>
  </conditionalFormatting>
  <dataValidations count="1">
    <dataValidation type="list" showInputMessage="1" showErrorMessage="1" sqref="A5:E5">
      <formula1>$Y$8:$Y$21</formula1>
    </dataValidation>
  </dataValidations>
  <printOptions/>
  <pageMargins left="0.75" right="0.75" top="0.39" bottom="0.77" header="0.21" footer="0.5"/>
  <pageSetup horizontalDpi="360" verticalDpi="360" orientation="landscape" paperSize="9" r:id="rId2"/>
  <headerFooter alignWithMargins="0">
    <oddFooter>&amp;L&amp;8Analisi dei dati a cura di Sante Velo&amp;C&amp;8&amp;F [&amp;A]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1"/>
  <sheetViews>
    <sheetView showGridLines="0" showRowColHeaders="0" workbookViewId="0" topLeftCell="A1">
      <selection activeCell="T16" sqref="T16"/>
    </sheetView>
  </sheetViews>
  <sheetFormatPr defaultColWidth="9.140625" defaultRowHeight="12.75"/>
  <cols>
    <col min="1" max="16" width="5.7109375" style="0" customWidth="1"/>
    <col min="17" max="17" width="0.9921875" style="0" customWidth="1"/>
    <col min="18" max="20" width="5.7109375" style="0" customWidth="1"/>
  </cols>
  <sheetData>
    <row r="1" ht="15.75">
      <c r="A1" s="9" t="s">
        <v>40</v>
      </c>
    </row>
    <row r="2" ht="12.75">
      <c r="A2" s="10"/>
    </row>
    <row r="3" ht="15.75">
      <c r="A3" s="11" t="s">
        <v>39</v>
      </c>
    </row>
    <row r="5" spans="1:16" ht="33" customHeight="1">
      <c r="A5" s="25">
        <v>1</v>
      </c>
      <c r="B5" s="185" t="str">
        <f>IF(A5="","",VLOOKUP(A5,Q_1,2,FALSE))</f>
        <v>Penso di essere capace di collaborare con gli altri per raggiungere un obiettivo comune. 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7"/>
      <c r="O5" s="188">
        <f>IF(A5="","",HLOOKUP(VLOOKUP(A5,Q_1,3,FALSE),B_2,2,FALSE))</f>
        <v>65.98870056497175</v>
      </c>
      <c r="P5" s="189"/>
    </row>
    <row r="6" ht="15.75" customHeight="1">
      <c r="P6" s="26" t="s">
        <v>176</v>
      </c>
    </row>
    <row r="8" ht="18" customHeight="1">
      <c r="A8" s="27" t="s">
        <v>177</v>
      </c>
    </row>
    <row r="9" ht="18" customHeight="1"/>
    <row r="10" spans="1:4" ht="18" customHeight="1">
      <c r="A10" s="28" t="s">
        <v>101</v>
      </c>
      <c r="B10" s="29" t="s">
        <v>165</v>
      </c>
      <c r="C10" s="30"/>
      <c r="D10" s="31">
        <f>IF($A$5="","",HLOOKUP(VLOOKUP($A$5,Q_1,3,FALSE),B_2,3,FALSE))</f>
        <v>60.31746031746031</v>
      </c>
    </row>
    <row r="11" spans="1:4" ht="18" customHeight="1">
      <c r="A11" s="32" t="s">
        <v>102</v>
      </c>
      <c r="B11" s="33" t="s">
        <v>167</v>
      </c>
      <c r="C11" s="34"/>
      <c r="D11" s="35">
        <f>IF($A$5="","",HLOOKUP(VLOOKUP($A$5,Q_1,3,FALSE),B_2,4,FALSE))</f>
        <v>63.59649122807017</v>
      </c>
    </row>
    <row r="12" spans="1:4" ht="18" customHeight="1">
      <c r="A12" s="32" t="s">
        <v>103</v>
      </c>
      <c r="B12" s="33" t="s">
        <v>168</v>
      </c>
      <c r="C12" s="34"/>
      <c r="D12" s="35">
        <f>IF($A$5="","",HLOOKUP(VLOOKUP($A$5,Q_1,3,FALSE),B_2,5,FALSE))</f>
        <v>69.44444444444444</v>
      </c>
    </row>
    <row r="13" spans="1:4" ht="18" customHeight="1">
      <c r="A13" s="32" t="s">
        <v>104</v>
      </c>
      <c r="B13" s="33" t="s">
        <v>169</v>
      </c>
      <c r="C13" s="34"/>
      <c r="D13" s="35">
        <f>IF($A$5="","",HLOOKUP(VLOOKUP($A$5,Q_1,3,FALSE),B_2,6,FALSE))</f>
        <v>62.5</v>
      </c>
    </row>
    <row r="14" spans="1:4" ht="18" customHeight="1">
      <c r="A14" s="32" t="s">
        <v>105</v>
      </c>
      <c r="B14" s="33" t="s">
        <v>170</v>
      </c>
      <c r="C14" s="34"/>
      <c r="D14" s="35">
        <f>IF($A$5="","",HLOOKUP(VLOOKUP($A$5,Q_1,3,FALSE),B_2,7,FALSE))</f>
        <v>66.66666666666667</v>
      </c>
    </row>
    <row r="15" spans="1:4" ht="18" customHeight="1">
      <c r="A15" s="36" t="s">
        <v>106</v>
      </c>
      <c r="B15" s="37" t="s">
        <v>171</v>
      </c>
      <c r="C15" s="38"/>
      <c r="D15" s="39">
        <f>IF($A$5="","",HLOOKUP(VLOOKUP($A$5,Q_1,3,FALSE),B_2,8,FALSE))</f>
        <v>69.44444444444444</v>
      </c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7" ht="18" customHeight="1">
      <c r="A27" s="27" t="s">
        <v>178</v>
      </c>
    </row>
    <row r="28" ht="18" customHeight="1"/>
    <row r="29" spans="1:4" ht="18" customHeight="1">
      <c r="A29" s="28" t="s">
        <v>94</v>
      </c>
      <c r="B29" s="29" t="s">
        <v>173</v>
      </c>
      <c r="C29" s="30"/>
      <c r="D29" s="31">
        <f>IF($A$5="","",HLOOKUP(VLOOKUP($A$5,Q_1,3,FALSE),B_2,14,FALSE))</f>
        <v>66.46586345381526</v>
      </c>
    </row>
    <row r="30" spans="1:4" ht="18" customHeight="1">
      <c r="A30" s="36" t="s">
        <v>95</v>
      </c>
      <c r="B30" s="37" t="s">
        <v>162</v>
      </c>
      <c r="C30" s="38"/>
      <c r="D30" s="39">
        <f>IF($A$5="","",HLOOKUP(VLOOKUP($A$5,Q_1,3,FALSE),B_2,15,FALSE))</f>
        <v>65.37216828478965</v>
      </c>
    </row>
    <row r="45" ht="18" customHeight="1">
      <c r="A45" s="27" t="s">
        <v>31</v>
      </c>
    </row>
    <row r="46" ht="18" customHeight="1"/>
    <row r="47" spans="1:4" ht="18" customHeight="1">
      <c r="A47" s="28" t="s">
        <v>157</v>
      </c>
      <c r="B47" s="29" t="s">
        <v>32</v>
      </c>
      <c r="C47" s="30"/>
      <c r="D47" s="31">
        <f>IF($A$5="","",HLOOKUP(VLOOKUP($A$5,Q_1,3,FALSE),B_2,9,FALSE))</f>
        <v>53.333333333333336</v>
      </c>
    </row>
    <row r="48" spans="1:4" ht="18" customHeight="1">
      <c r="A48" s="32" t="s">
        <v>158</v>
      </c>
      <c r="B48" s="33" t="s">
        <v>33</v>
      </c>
      <c r="C48" s="34"/>
      <c r="D48" s="35">
        <f>IF($A$5="","",HLOOKUP(VLOOKUP($A$5,Q_1,3,FALSE),B_2,10,FALSE))</f>
        <v>64.05228758169933</v>
      </c>
    </row>
    <row r="49" spans="1:4" ht="18" customHeight="1">
      <c r="A49" s="32" t="s">
        <v>159</v>
      </c>
      <c r="B49" s="33" t="s">
        <v>34</v>
      </c>
      <c r="C49" s="34"/>
      <c r="D49" s="35">
        <f>IF($A$5="","",HLOOKUP(VLOOKUP($A$5,Q_1,3,FALSE),B_2,11,FALSE))</f>
        <v>66.35802469135804</v>
      </c>
    </row>
    <row r="50" spans="1:4" ht="18" customHeight="1">
      <c r="A50" s="32" t="s">
        <v>160</v>
      </c>
      <c r="B50" s="33" t="s">
        <v>35</v>
      </c>
      <c r="C50" s="34"/>
      <c r="D50" s="35">
        <f>IF($A$5="","",HLOOKUP(VLOOKUP($A$5,Q_1,3,FALSE),B_2,12,FALSE))</f>
        <v>66.66666666666667</v>
      </c>
    </row>
    <row r="51" spans="1:4" ht="18" customHeight="1">
      <c r="A51" s="36" t="s">
        <v>161</v>
      </c>
      <c r="B51" s="37" t="s">
        <v>36</v>
      </c>
      <c r="C51" s="38"/>
      <c r="D51" s="39">
        <f>IF($A$5="","",HLOOKUP(VLOOKUP($A$5,Q_1,3,FALSE),B_2,13,FALSE))</f>
        <v>68.96551724137932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mergeCells count="2">
    <mergeCell ref="B5:M5"/>
    <mergeCell ref="O5:P5"/>
  </mergeCells>
  <printOptions/>
  <pageMargins left="0.54" right="0.42" top="0.49" bottom="1" header="0.28" footer="0.5"/>
  <pageSetup horizontalDpi="360" verticalDpi="360" orientation="portrait" paperSize="9" r:id="rId4"/>
  <headerFooter alignWithMargins="0">
    <oddFooter>&amp;L&amp;8Analisi dei dati a cura di Sante Velo&amp;C&amp;8&amp;F [&amp;A]&amp;R&amp;8Pagina &amp;P di &amp;N</oddFooter>
  </headerFooter>
  <rowBreaks count="1" manualBreakCount="1">
    <brk id="44" max="255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1"/>
  <sheetViews>
    <sheetView showGridLines="0" showRowColHeaders="0" workbookViewId="0" topLeftCell="A1">
      <selection activeCell="L5" sqref="L5"/>
    </sheetView>
  </sheetViews>
  <sheetFormatPr defaultColWidth="9.140625" defaultRowHeight="12.75"/>
  <cols>
    <col min="1" max="23" width="5.57421875" style="10" customWidth="1"/>
    <col min="24" max="24" width="2.140625" style="10" customWidth="1"/>
    <col min="25" max="27" width="0" style="10" hidden="1" customWidth="1"/>
    <col min="28" max="16384" width="9.140625" style="10" customWidth="1"/>
  </cols>
  <sheetData>
    <row r="1" ht="15.75">
      <c r="A1" s="9" t="s">
        <v>29</v>
      </c>
    </row>
    <row r="3" ht="15.75">
      <c r="A3" s="11" t="s">
        <v>175</v>
      </c>
    </row>
    <row r="4" ht="15.75">
      <c r="A4" s="12"/>
    </row>
    <row r="5" spans="1:7" ht="19.5" customHeight="1">
      <c r="A5" s="182" t="s">
        <v>163</v>
      </c>
      <c r="B5" s="183"/>
      <c r="C5" s="183"/>
      <c r="D5" s="183"/>
      <c r="E5" s="184"/>
      <c r="G5" s="13">
        <f>IF(A5="","",IF(Y7="a","Provincia",IF(Y7="b","Tipo di Istituto",IF(Y7="c","Età",IF(Y7="d","Genere","")))))</f>
      </c>
    </row>
    <row r="7" spans="1:25" ht="15" customHeight="1">
      <c r="A7" s="14" t="s">
        <v>71</v>
      </c>
      <c r="B7" s="15" t="s">
        <v>72</v>
      </c>
      <c r="C7" s="15" t="s">
        <v>73</v>
      </c>
      <c r="D7" s="15" t="s">
        <v>74</v>
      </c>
      <c r="E7" s="15" t="s">
        <v>75</v>
      </c>
      <c r="F7" s="15" t="s">
        <v>76</v>
      </c>
      <c r="G7" s="15" t="s">
        <v>77</v>
      </c>
      <c r="H7" s="15" t="s">
        <v>78</v>
      </c>
      <c r="I7" s="15" t="s">
        <v>79</v>
      </c>
      <c r="J7" s="15" t="s">
        <v>80</v>
      </c>
      <c r="K7" s="15" t="s">
        <v>81</v>
      </c>
      <c r="L7" s="15" t="s">
        <v>82</v>
      </c>
      <c r="M7" s="15" t="s">
        <v>83</v>
      </c>
      <c r="N7" s="15" t="s">
        <v>84</v>
      </c>
      <c r="O7" s="15" t="s">
        <v>85</v>
      </c>
      <c r="P7" s="15" t="s">
        <v>86</v>
      </c>
      <c r="Q7" s="15" t="s">
        <v>87</v>
      </c>
      <c r="R7" s="15" t="s">
        <v>88</v>
      </c>
      <c r="S7" s="15" t="s">
        <v>89</v>
      </c>
      <c r="T7" s="15" t="s">
        <v>90</v>
      </c>
      <c r="U7" s="15" t="s">
        <v>91</v>
      </c>
      <c r="V7" s="15" t="s">
        <v>92</v>
      </c>
      <c r="W7" s="16" t="s">
        <v>93</v>
      </c>
      <c r="Y7" s="17" t="str">
        <f>VLOOKUP(A5,R_1,3,FALSE)</f>
        <v>z</v>
      </c>
    </row>
    <row r="8" spans="1:27" s="21" customFormat="1" ht="15" customHeight="1">
      <c r="A8" s="18">
        <f>IF($A$5="","",VLOOKUP(VLOOKUP($A$5,R_1,2,FALSE),C_1,2,FALSE))</f>
        <v>97.83393501805054</v>
      </c>
      <c r="B8" s="19">
        <f>IF($A$5="","",VLOOKUP(VLOOKUP($A$5,R_1,2,FALSE),C_1,3,FALSE))</f>
        <v>80.14440433212997</v>
      </c>
      <c r="C8" s="19">
        <f>IF($A$5="","",VLOOKUP(VLOOKUP($A$5,R_1,2,FALSE),C_1,4,FALSE))</f>
        <v>89.16967509025271</v>
      </c>
      <c r="D8" s="19">
        <f>IF($A$5="","",VLOOKUP(VLOOKUP($A$5,R_1,2,FALSE),C_1,5,FALSE))</f>
        <v>72.56317689530685</v>
      </c>
      <c r="E8" s="19">
        <f>IF($A$5="","",VLOOKUP(VLOOKUP($A$5,R_1,2,FALSE),C_1,6,FALSE))</f>
        <v>83.75451263537906</v>
      </c>
      <c r="F8" s="19">
        <f>IF($A$5="","",VLOOKUP(VLOOKUP($A$5,R_1,2,FALSE),C_1,7,FALSE))</f>
        <v>93.50180505415162</v>
      </c>
      <c r="G8" s="19">
        <f>IF($A$5="","",VLOOKUP(VLOOKUP($A$5,R_1,2,FALSE),C_1,8,FALSE))</f>
        <v>74.0072202166065</v>
      </c>
      <c r="H8" s="19">
        <f>IF($A$5="","",VLOOKUP(VLOOKUP($A$5,R_1,2,FALSE),C_1,9,FALSE))</f>
        <v>88.8086642599278</v>
      </c>
      <c r="I8" s="19">
        <f>IF($A$5="","",VLOOKUP(VLOOKUP($A$5,R_1,2,FALSE),C_1,10,FALSE))</f>
        <v>49.81949458483754</v>
      </c>
      <c r="J8" s="19">
        <f>IF($A$5="","",VLOOKUP(VLOOKUP($A$5,R_1,2,FALSE),C_1,11,FALSE))</f>
        <v>89.16967509025271</v>
      </c>
      <c r="K8" s="19">
        <f>IF($A$5="","",VLOOKUP(VLOOKUP($A$5,R_1,2,FALSE),C_1,12,FALSE))</f>
        <v>80.14440433212997</v>
      </c>
      <c r="L8" s="19">
        <f>IF($A$5="","",VLOOKUP(VLOOKUP($A$5,R_1,2,FALSE),C_1,13,FALSE))</f>
        <v>86.28158844765343</v>
      </c>
      <c r="M8" s="19">
        <f>IF($A$5="","",VLOOKUP(VLOOKUP($A$5,R_1,2,FALSE),C_1,14,FALSE))</f>
        <v>75.45126353790614</v>
      </c>
      <c r="N8" s="19">
        <f>IF($A$5="","",VLOOKUP(VLOOKUP($A$5,R_1,2,FALSE),C_1,15,FALSE))</f>
        <v>62.81588447653429</v>
      </c>
      <c r="O8" s="19">
        <f>IF($A$5="","",VLOOKUP(VLOOKUP($A$5,R_1,2,FALSE),C_1,16,FALSE))</f>
        <v>93.14079422382672</v>
      </c>
      <c r="P8" s="19">
        <f>IF($A$5="","",VLOOKUP(VLOOKUP($A$5,R_1,2,FALSE),C_1,17,FALSE))</f>
        <v>73.28519855595668</v>
      </c>
      <c r="Q8" s="19">
        <f>IF($A$5="","",VLOOKUP(VLOOKUP($A$5,R_1,2,FALSE),C_1,18,FALSE))</f>
        <v>90.61371841155234</v>
      </c>
      <c r="R8" s="19">
        <f>IF($A$5="","",VLOOKUP(VLOOKUP($A$5,R_1,2,FALSE),C_1,19,FALSE))</f>
        <v>75.45126353790614</v>
      </c>
      <c r="S8" s="19">
        <f>IF($A$5="","",VLOOKUP(VLOOKUP($A$5,R_1,2,FALSE),C_1,20,FALSE))</f>
        <v>77.9783393501805</v>
      </c>
      <c r="T8" s="19">
        <f>IF($A$5="","",VLOOKUP(VLOOKUP($A$5,R_1,2,FALSE),C_1,21,FALSE))</f>
        <v>71.84115523465704</v>
      </c>
      <c r="U8" s="19">
        <f>IF($A$5="","",VLOOKUP(VLOOKUP($A$5,R_1,2,FALSE),C_1,22,FALSE))</f>
        <v>97.11191335740072</v>
      </c>
      <c r="V8" s="19">
        <f>IF($A$5="","",VLOOKUP(VLOOKUP($A$5,R_1,2,FALSE),C_1,23,FALSE))</f>
        <v>93.50180505415162</v>
      </c>
      <c r="W8" s="20">
        <f>IF($A$5="","",VLOOKUP(VLOOKUP($A$5,R_1,2,FALSE),C_1,24,FALSE))</f>
        <v>76.17328519855596</v>
      </c>
      <c r="Y8" s="21" t="s">
        <v>163</v>
      </c>
      <c r="Z8" s="21" t="s">
        <v>156</v>
      </c>
      <c r="AA8" s="21" t="s">
        <v>164</v>
      </c>
    </row>
    <row r="9" spans="1:27" ht="15" customHeight="1">
      <c r="A9" s="22">
        <f aca="true" t="shared" si="0" ref="A9:W9">IF($A$5="Veneto","",A8-A41)</f>
      </c>
      <c r="B9" s="23">
        <f t="shared" si="0"/>
      </c>
      <c r="C9" s="23">
        <f t="shared" si="0"/>
      </c>
      <c r="D9" s="23">
        <f t="shared" si="0"/>
      </c>
      <c r="E9" s="23">
        <f t="shared" si="0"/>
      </c>
      <c r="F9" s="23">
        <f t="shared" si="0"/>
      </c>
      <c r="G9" s="23">
        <f t="shared" si="0"/>
      </c>
      <c r="H9" s="23">
        <f t="shared" si="0"/>
      </c>
      <c r="I9" s="23">
        <f t="shared" si="0"/>
      </c>
      <c r="J9" s="23">
        <f t="shared" si="0"/>
      </c>
      <c r="K9" s="23">
        <f t="shared" si="0"/>
      </c>
      <c r="L9" s="23">
        <f t="shared" si="0"/>
      </c>
      <c r="M9" s="23">
        <f t="shared" si="0"/>
      </c>
      <c r="N9" s="23">
        <f t="shared" si="0"/>
      </c>
      <c r="O9" s="23">
        <f t="shared" si="0"/>
      </c>
      <c r="P9" s="23">
        <f t="shared" si="0"/>
      </c>
      <c r="Q9" s="23">
        <f t="shared" si="0"/>
      </c>
      <c r="R9" s="23">
        <f t="shared" si="0"/>
      </c>
      <c r="S9" s="23">
        <f t="shared" si="0"/>
      </c>
      <c r="T9" s="23">
        <f t="shared" si="0"/>
      </c>
      <c r="U9" s="23">
        <f t="shared" si="0"/>
      </c>
      <c r="V9" s="23">
        <f t="shared" si="0"/>
      </c>
      <c r="W9" s="24">
        <f t="shared" si="0"/>
      </c>
      <c r="Y9" s="10" t="s">
        <v>165</v>
      </c>
      <c r="Z9" s="2" t="s">
        <v>101</v>
      </c>
      <c r="AA9" s="10" t="s">
        <v>166</v>
      </c>
    </row>
    <row r="10" spans="25:27" ht="6.75" customHeight="1">
      <c r="Y10" s="10" t="s">
        <v>167</v>
      </c>
      <c r="Z10" s="2" t="s">
        <v>102</v>
      </c>
      <c r="AA10" s="10" t="s">
        <v>166</v>
      </c>
    </row>
    <row r="11" spans="1:27" ht="12.75">
      <c r="A11" s="10">
        <f>IF($A$5="Veneto","","Valori positivi indicano un punteggio medio superiore a quello regionale, valori negativi indicano un punteggio medio inferiore")</f>
      </c>
      <c r="Y11" s="10" t="s">
        <v>168</v>
      </c>
      <c r="Z11" s="2" t="s">
        <v>103</v>
      </c>
      <c r="AA11" s="10" t="s">
        <v>166</v>
      </c>
    </row>
    <row r="12" spans="25:27" ht="12.75">
      <c r="Y12" s="10" t="s">
        <v>169</v>
      </c>
      <c r="Z12" s="2" t="s">
        <v>104</v>
      </c>
      <c r="AA12" s="10" t="s">
        <v>166</v>
      </c>
    </row>
    <row r="13" spans="25:27" ht="12.75">
      <c r="Y13" s="10" t="s">
        <v>170</v>
      </c>
      <c r="Z13" s="2" t="s">
        <v>105</v>
      </c>
      <c r="AA13" s="10" t="s">
        <v>166</v>
      </c>
    </row>
    <row r="14" spans="25:27" ht="12.75">
      <c r="Y14" s="10" t="s">
        <v>171</v>
      </c>
      <c r="Z14" s="2" t="s">
        <v>106</v>
      </c>
      <c r="AA14" s="10" t="s">
        <v>166</v>
      </c>
    </row>
    <row r="15" spans="25:27" ht="12.75">
      <c r="Y15" s="10" t="s">
        <v>24</v>
      </c>
      <c r="Z15" s="2" t="s">
        <v>157</v>
      </c>
      <c r="AA15" s="10" t="s">
        <v>172</v>
      </c>
    </row>
    <row r="16" spans="25:27" ht="12.75">
      <c r="Y16" s="10" t="s">
        <v>25</v>
      </c>
      <c r="Z16" s="2" t="s">
        <v>158</v>
      </c>
      <c r="AA16" s="10" t="s">
        <v>172</v>
      </c>
    </row>
    <row r="17" spans="25:27" ht="12.75">
      <c r="Y17" s="10" t="s">
        <v>26</v>
      </c>
      <c r="Z17" s="2" t="s">
        <v>159</v>
      </c>
      <c r="AA17" s="10" t="s">
        <v>172</v>
      </c>
    </row>
    <row r="18" spans="25:27" ht="12.75">
      <c r="Y18" s="10" t="s">
        <v>27</v>
      </c>
      <c r="Z18" s="2" t="s">
        <v>160</v>
      </c>
      <c r="AA18" s="10" t="s">
        <v>172</v>
      </c>
    </row>
    <row r="19" spans="25:27" ht="12.75">
      <c r="Y19" s="10" t="s">
        <v>28</v>
      </c>
      <c r="Z19" s="2" t="s">
        <v>161</v>
      </c>
      <c r="AA19" s="10" t="s">
        <v>172</v>
      </c>
    </row>
    <row r="20" spans="25:27" ht="12.75">
      <c r="Y20" s="10" t="s">
        <v>173</v>
      </c>
      <c r="Z20" s="2" t="s">
        <v>94</v>
      </c>
      <c r="AA20" s="10" t="s">
        <v>174</v>
      </c>
    </row>
    <row r="21" spans="25:27" ht="12.75">
      <c r="Y21" s="10" t="s">
        <v>162</v>
      </c>
      <c r="Z21" s="2" t="s">
        <v>95</v>
      </c>
      <c r="AA21" s="10" t="s">
        <v>174</v>
      </c>
    </row>
    <row r="40" ht="12.75" hidden="1"/>
    <row r="41" spans="1:23" ht="12.75" hidden="1">
      <c r="A41" s="21">
        <v>97.83393501805054</v>
      </c>
      <c r="B41" s="21">
        <v>80.14440433212997</v>
      </c>
      <c r="C41" s="21">
        <v>89.16967509025271</v>
      </c>
      <c r="D41" s="21">
        <v>72.56317689530685</v>
      </c>
      <c r="E41" s="21">
        <v>83.75451263537906</v>
      </c>
      <c r="F41" s="21">
        <v>93.50180505415162</v>
      </c>
      <c r="G41" s="21">
        <v>74.0072202166065</v>
      </c>
      <c r="H41" s="21">
        <v>88.8086642599278</v>
      </c>
      <c r="I41" s="21">
        <v>49.81949458483754</v>
      </c>
      <c r="J41" s="21">
        <v>89.16967509025271</v>
      </c>
      <c r="K41" s="21">
        <v>80.14440433212997</v>
      </c>
      <c r="L41" s="21">
        <v>86.28158844765343</v>
      </c>
      <c r="M41" s="21">
        <v>75.45126353790614</v>
      </c>
      <c r="N41" s="21">
        <v>62.81588447653429</v>
      </c>
      <c r="O41" s="21">
        <v>93.14079422382672</v>
      </c>
      <c r="P41" s="21">
        <v>73.28519855595668</v>
      </c>
      <c r="Q41" s="21">
        <v>90.61371841155234</v>
      </c>
      <c r="R41" s="21">
        <v>75.45126353790614</v>
      </c>
      <c r="S41" s="21">
        <v>77.9783393501805</v>
      </c>
      <c r="T41" s="21">
        <v>71.84115523465704</v>
      </c>
      <c r="U41" s="21">
        <v>97.11191335740072</v>
      </c>
      <c r="V41" s="21">
        <v>93.50180505415162</v>
      </c>
      <c r="W41" s="21">
        <v>76.17328519855596</v>
      </c>
    </row>
    <row r="42" ht="12.75" hidden="1"/>
  </sheetData>
  <mergeCells count="1">
    <mergeCell ref="A5:E5"/>
  </mergeCells>
  <conditionalFormatting sqref="A9:W9">
    <cfRule type="cellIs" priority="1" dxfId="2" operator="lessThan" stopIfTrue="1">
      <formula>0</formula>
    </cfRule>
    <cfRule type="cellIs" priority="2" dxfId="0" operator="greaterThan" stopIfTrue="1">
      <formula>0</formula>
    </cfRule>
  </conditionalFormatting>
  <dataValidations count="1">
    <dataValidation type="list" showInputMessage="1" showErrorMessage="1" sqref="A5:E5">
      <formula1>$Y$8:$Y$21</formula1>
    </dataValidation>
  </dataValidations>
  <printOptions/>
  <pageMargins left="0.75" right="0.75" top="0.39" bottom="0.77" header="0.21" footer="0.5"/>
  <pageSetup horizontalDpi="360" verticalDpi="360" orientation="landscape" paperSize="9" r:id="rId2"/>
  <headerFooter alignWithMargins="0">
    <oddFooter>&amp;L&amp;8Analisi dei dati a cura di Sante Velo&amp;C&amp;8&amp;F [&amp;A]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patente europea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ipsia_9a</dc:creator>
  <cp:keywords/>
  <dc:description/>
  <cp:lastModifiedBy>Sante Velo</cp:lastModifiedBy>
  <cp:lastPrinted>2006-11-29T21:25:44Z</cp:lastPrinted>
  <dcterms:created xsi:type="dcterms:W3CDTF">2006-11-27T14:59:26Z</dcterms:created>
  <dcterms:modified xsi:type="dcterms:W3CDTF">2006-11-29T21:26:41Z</dcterms:modified>
  <cp:category/>
  <cp:version/>
  <cp:contentType/>
  <cp:contentStatus/>
</cp:coreProperties>
</file>